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96" yWindow="36" windowWidth="22932" windowHeight="8976"/>
  </bookViews>
  <sheets>
    <sheet name="SF EST CIVIL" sheetId="15" r:id="rId1"/>
  </sheets>
  <definedNames>
    <definedName name="_xlnm.Print_Area" localSheetId="0">'SF EST CIVIL'!$A$1:$K$615</definedName>
  </definedNames>
  <calcPr calcId="124519" calcMode="autoNoTable"/>
</workbook>
</file>

<file path=xl/calcChain.xml><?xml version="1.0" encoding="utf-8"?>
<calcChain xmlns="http://schemas.openxmlformats.org/spreadsheetml/2006/main">
  <c r="H235" i="15"/>
  <c r="H193" l="1"/>
  <c r="H189"/>
  <c r="H190"/>
  <c r="H188"/>
  <c r="A195"/>
  <c r="A186"/>
  <c r="H184"/>
  <c r="H191" l="1"/>
  <c r="E191"/>
  <c r="E189"/>
  <c r="E188"/>
  <c r="H183"/>
  <c r="F183"/>
  <c r="E183"/>
  <c r="F182"/>
  <c r="E182"/>
  <c r="H182" s="1"/>
  <c r="A10" l="1"/>
  <c r="A52" s="1"/>
  <c r="E6"/>
  <c r="H6" s="1"/>
  <c r="H7" s="1"/>
  <c r="H234" l="1"/>
  <c r="D233"/>
  <c r="H233" s="1"/>
  <c r="G260"/>
  <c r="F260"/>
  <c r="G259"/>
  <c r="F259"/>
  <c r="G257"/>
  <c r="F257"/>
  <c r="H253" l="1"/>
  <c r="H254" s="1"/>
  <c r="E247"/>
  <c r="H247" s="1"/>
  <c r="H248" s="1"/>
  <c r="D240"/>
  <c r="G240" s="1"/>
  <c r="G242" s="1"/>
  <c r="H217"/>
  <c r="H210"/>
  <c r="H209"/>
  <c r="H208"/>
  <c r="G207"/>
  <c r="E207"/>
  <c r="E206"/>
  <c r="H206" s="1"/>
  <c r="E205"/>
  <c r="H205" s="1"/>
  <c r="F200"/>
  <c r="E200"/>
  <c r="F199"/>
  <c r="E199"/>
  <c r="F198"/>
  <c r="E198"/>
  <c r="F177"/>
  <c r="E177"/>
  <c r="F176"/>
  <c r="E176"/>
  <c r="F175"/>
  <c r="E175"/>
  <c r="F174"/>
  <c r="E174"/>
  <c r="F173"/>
  <c r="E173"/>
  <c r="H172"/>
  <c r="H168"/>
  <c r="H167"/>
  <c r="H166"/>
  <c r="H164"/>
  <c r="H163"/>
  <c r="H162"/>
  <c r="H161"/>
  <c r="H160"/>
  <c r="H155"/>
  <c r="E154"/>
  <c r="H154" s="1"/>
  <c r="H153"/>
  <c r="H152"/>
  <c r="H151"/>
  <c r="E149"/>
  <c r="H149" s="1"/>
  <c r="E148"/>
  <c r="H148" s="1"/>
  <c r="E147"/>
  <c r="H147" s="1"/>
  <c r="E146"/>
  <c r="H146" s="1"/>
  <c r="E145"/>
  <c r="H145" s="1"/>
  <c r="E144"/>
  <c r="H144" s="1"/>
  <c r="E143"/>
  <c r="H143" s="1"/>
  <c r="E142"/>
  <c r="H142" s="1"/>
  <c r="H141"/>
  <c r="H140"/>
  <c r="H139"/>
  <c r="H138"/>
  <c r="H137"/>
  <c r="H136"/>
  <c r="H135"/>
  <c r="H134"/>
  <c r="H133"/>
  <c r="H128"/>
  <c r="H127"/>
  <c r="H126"/>
  <c r="E119"/>
  <c r="H119" s="1"/>
  <c r="H120" s="1"/>
  <c r="E114"/>
  <c r="H114" s="1"/>
  <c r="H115" s="1"/>
  <c r="H109"/>
  <c r="H108"/>
  <c r="H105"/>
  <c r="H104"/>
  <c r="H103"/>
  <c r="H96"/>
  <c r="H95"/>
  <c r="H94"/>
  <c r="H93"/>
  <c r="H85"/>
  <c r="H84"/>
  <c r="H83"/>
  <c r="H82"/>
  <c r="H78"/>
  <c r="E76"/>
  <c r="H76" s="1"/>
  <c r="H70"/>
  <c r="E69"/>
  <c r="H69" s="1"/>
  <c r="H68"/>
  <c r="H66"/>
  <c r="H65"/>
  <c r="H64"/>
  <c r="H63"/>
  <c r="H62"/>
  <c r="H61"/>
  <c r="H60"/>
  <c r="G54"/>
  <c r="H55" s="1"/>
  <c r="H56" s="1"/>
  <c r="E54"/>
  <c r="A58"/>
  <c r="A74" s="1"/>
  <c r="A81" s="1"/>
  <c r="A90" s="1"/>
  <c r="A99" s="1"/>
  <c r="A112" s="1"/>
  <c r="A117" s="1"/>
  <c r="A122" s="1"/>
  <c r="A131" s="1"/>
  <c r="A158" s="1"/>
  <c r="A171" s="1"/>
  <c r="H49"/>
  <c r="H48"/>
  <c r="H47"/>
  <c r="H46"/>
  <c r="H42"/>
  <c r="H41"/>
  <c r="H38"/>
  <c r="H37"/>
  <c r="H36"/>
  <c r="H35"/>
  <c r="H34"/>
  <c r="H33"/>
  <c r="E29"/>
  <c r="H29" s="1"/>
  <c r="E28"/>
  <c r="H28" s="1"/>
  <c r="H24"/>
  <c r="H23"/>
  <c r="H22"/>
  <c r="H21"/>
  <c r="H20"/>
  <c r="H19"/>
  <c r="G15"/>
  <c r="H15" s="1"/>
  <c r="G14"/>
  <c r="H14" s="1"/>
  <c r="H13"/>
  <c r="A180" l="1"/>
  <c r="A203" s="1"/>
  <c r="A213" s="1"/>
  <c r="A220" s="1"/>
  <c r="A226" s="1"/>
  <c r="A232" s="1"/>
  <c r="A237" s="1"/>
  <c r="A244" s="1"/>
  <c r="A250" s="1"/>
  <c r="A256" s="1"/>
  <c r="A258" s="1"/>
  <c r="A261" s="1"/>
  <c r="A265" s="1"/>
  <c r="A269" s="1"/>
  <c r="A272" s="1"/>
  <c r="H199"/>
  <c r="H86"/>
  <c r="E88" s="1"/>
  <c r="H88" s="1"/>
  <c r="H43"/>
  <c r="H173"/>
  <c r="H175"/>
  <c r="H198"/>
  <c r="H200"/>
  <c r="H207"/>
  <c r="H211" s="1"/>
  <c r="H30"/>
  <c r="H110"/>
  <c r="H79"/>
  <c r="H174"/>
  <c r="H156"/>
  <c r="H169"/>
  <c r="H25"/>
  <c r="H39"/>
  <c r="H50"/>
  <c r="H71"/>
  <c r="H106"/>
  <c r="H129"/>
  <c r="H177"/>
  <c r="H16"/>
  <c r="H97"/>
  <c r="H176"/>
  <c r="H214" l="1"/>
  <c r="H216"/>
  <c r="H201"/>
  <c r="H222"/>
  <c r="H229"/>
  <c r="H230" s="1"/>
  <c r="H178"/>
  <c r="H223" l="1"/>
  <c r="H224" s="1"/>
  <c r="H215"/>
  <c r="H218" s="1"/>
</calcChain>
</file>

<file path=xl/sharedStrings.xml><?xml version="1.0" encoding="utf-8"?>
<sst xmlns="http://schemas.openxmlformats.org/spreadsheetml/2006/main" count="237" uniqueCount="144">
  <si>
    <t>Sl.No</t>
  </si>
  <si>
    <t>Description of the item</t>
  </si>
  <si>
    <t>Units</t>
  </si>
  <si>
    <t>NO</t>
  </si>
  <si>
    <t>Measurement (m)</t>
  </si>
  <si>
    <t>QTY</t>
  </si>
  <si>
    <t>L</t>
  </si>
  <si>
    <t>B</t>
  </si>
  <si>
    <t>D</t>
  </si>
  <si>
    <t>TOTAL</t>
  </si>
  <si>
    <t>Basic Rate</t>
  </si>
  <si>
    <t>A W 5%</t>
  </si>
  <si>
    <t>Final Rate</t>
  </si>
  <si>
    <t>Cum</t>
  </si>
  <si>
    <t>SQM</t>
  </si>
  <si>
    <t>RCC WORKS</t>
  </si>
  <si>
    <t>Columns</t>
  </si>
  <si>
    <t>Total C</t>
  </si>
  <si>
    <t>KG</t>
  </si>
  <si>
    <t>T</t>
  </si>
  <si>
    <r>
      <t>Providing  and  laying  in  position  Reinforced  cement  concrete   for  all Foundation works. Thegranite/trap/basalt   crushed  graded  coarse aggregates   and fine aggregates   as per relevant IS Codes machine mixed with super plasticizers   laid in finished layers, well compacted using needle vibrators,  including all lead &amp; lifts,  cost of all materials, quality confirming to the requirements of   relevant IS codes , labour, Usage charges of machinery,  curing and all the other  appurtenances required to complete the work as per technical specifications. (The cost of steel reinforcement &amp; formwork to be paid separately) M25    Design Mix Using 20 mm nominal size graded crushed coarse aggregates</t>
    </r>
    <r>
      <rPr>
        <b/>
        <sz val="48"/>
        <rFont val="Cambria"/>
        <family val="1"/>
        <scheme val="major"/>
      </rPr>
      <t>Volume-1 ITEM NO:2.2.1 Page no-15</t>
    </r>
  </si>
  <si>
    <r>
      <t>Steel Fabrication Supplying, fitting and placing TMT FE 550 / 550D Steel Reinforcement including cost of all materials, machinery, labour, cleaning, straightening, cutting, bending, hooking, laping/welding joints, tying with binding wire / soft annealed steel wire and other ancilary operations complete as per drawing and technical specification.a. Buildings</t>
    </r>
    <r>
      <rPr>
        <b/>
        <sz val="48"/>
        <rFont val="Cambria"/>
        <family val="1"/>
        <scheme val="major"/>
      </rPr>
      <t xml:space="preserve"> Volume-1 ITEM NO:2.2.1 Page no-18</t>
    </r>
  </si>
  <si>
    <t>RB1</t>
  </si>
  <si>
    <t>RB2</t>
  </si>
  <si>
    <t>Total D</t>
  </si>
  <si>
    <t>Roof  Slab</t>
  </si>
  <si>
    <t>Total E</t>
  </si>
  <si>
    <t xml:space="preserve"> Staircase </t>
  </si>
  <si>
    <t>Waist slab</t>
  </si>
  <si>
    <t>Landing</t>
  </si>
  <si>
    <t>StaircaseSteps(0.5*0.3*0.15=0.023)</t>
  </si>
  <si>
    <t>Total F</t>
  </si>
  <si>
    <t>ROOF BEAM</t>
  </si>
  <si>
    <t>Deduct Stair</t>
  </si>
  <si>
    <t>CHEJJA</t>
  </si>
  <si>
    <t>W1</t>
  </si>
  <si>
    <t>GW</t>
  </si>
  <si>
    <t>Lintel</t>
  </si>
  <si>
    <t>W</t>
  </si>
  <si>
    <t>Wall</t>
  </si>
  <si>
    <t>Door</t>
  </si>
  <si>
    <t xml:space="preserve">                      MS Grills For Windows</t>
  </si>
  <si>
    <t>Sub Total</t>
  </si>
  <si>
    <t>Area</t>
  </si>
  <si>
    <t>Total weight of MS Grills</t>
  </si>
  <si>
    <t>Kgs</t>
  </si>
  <si>
    <t>UPVC Windows</t>
  </si>
  <si>
    <t>Sqm</t>
  </si>
  <si>
    <t xml:space="preserve">PVC Doors </t>
  </si>
  <si>
    <t>DOORS</t>
  </si>
  <si>
    <t>SQm</t>
  </si>
  <si>
    <t>HALL</t>
  </si>
  <si>
    <t>Deduction</t>
  </si>
  <si>
    <t>Internal Plastering</t>
  </si>
  <si>
    <t>External plastering</t>
  </si>
  <si>
    <t xml:space="preserve"> Back side</t>
  </si>
  <si>
    <t>Sides</t>
  </si>
  <si>
    <t>Celing Plastering</t>
  </si>
  <si>
    <t>internal Plastering QTY</t>
  </si>
  <si>
    <t>Ceiling QTY</t>
  </si>
  <si>
    <t>Deduction wall cladding</t>
  </si>
  <si>
    <t>Qty carried from external plastering qty</t>
  </si>
  <si>
    <r>
      <t>Providing Brick  work  with  common  burnt  clay Non  Modular bricks of   class designation 3.5 in foundation and plinth in   Cement mortar 1:4 (1 cement : 4 coarse sand) including cost of all materials, labour, scaffolding and usage charges of machinery &amp; other incidental charges complete as per the direction of engineer incharge of work.</t>
    </r>
    <r>
      <rPr>
        <b/>
        <sz val="48"/>
        <rFont val="Cambria"/>
        <family val="1"/>
        <scheme val="major"/>
      </rPr>
      <t>Volume-2 ITEM NO:6.2Page no-13</t>
    </r>
  </si>
  <si>
    <r>
      <t xml:space="preserve">Providing and fixing Steel work welded in built up sections/ framed work, including cutting, hoisting, fixing in position and applying a priming coat of approved steel primer using structural steel etc. as required. In gratings, frames, guard bar, ladder, railings, brackets, gates and similar works i    </t>
    </r>
    <r>
      <rPr>
        <b/>
        <sz val="48"/>
        <rFont val="Cambria"/>
        <family val="1"/>
        <scheme val="major"/>
      </rPr>
      <t>ITEM CODE-11.25.2 Page no-84 Vol-2</t>
    </r>
  </si>
  <si>
    <r>
      <t>Weight 
per m</t>
    </r>
    <r>
      <rPr>
        <vertAlign val="superscript"/>
        <sz val="48"/>
        <rFont val="Cambria"/>
        <family val="1"/>
      </rPr>
      <t>2</t>
    </r>
  </si>
  <si>
    <r>
      <t>Providing &amp; fixing of 3-track x 2-panel sliding windows made out of multi chambered UPVC(Matching to RAL-9016) sections and with minimum TiO2(Titanium Dioxide) at 6PHR with TPE(Thermo Plastic Elastomer) and lead free, gaskets -grey colour having isolated drainage and reinforced with Galvanized Iron profile through-out the window frame. The outer frame having an overall size of 108mm width x 45mmheight with reinforcement of 1mm thickness and Sash with overall size of 39mm x 75mm with GI reinforcement of 2mm and mesh sash of size 37mm x 58mm. Coextruded Glazing bead for fixing of glass shall be of size 20mm x 24 mm. Windows shall be provided with 6mm plain float glass, standard hardware&amp; Multi point locking system with touch lock. Wall thickness of frame &amp; sash shall be of 2mm-2.5mm. Maximum possible size – 2419mm x 2200mm. (T</t>
    </r>
    <r>
      <rPr>
        <b/>
        <sz val="48"/>
        <color theme="1"/>
        <rFont val="Cambria"/>
        <family val="1"/>
        <scheme val="major"/>
      </rPr>
      <t>item Code-12.90 page.no-110 Vol-2</t>
    </r>
  </si>
  <si>
    <r>
      <t xml:space="preserve"> Providing and fixing factory made Green certified, Anti Termite, UV resistant, high water absorbant single extruded WPC (Wood PolymerComposite) solid plain flush door shutter of required size comprising of virgin polymer of K value 58-60 (Suspension Grade), calcium carbonate and natural fibers (wood powder/rice husk/wheat husk) and non toxic additives (maximumtoxicity index of 12 for 100 g) having minimum density of 650 kg/m3 and screw withdrawal strength of 1800 N (Face) &amp; 900 N (Edge), minimum compressive strength of 50 N/mm2 , modulus of elasticity 850 N/mm2 and resistance to spread of flame of Class A category with property of being termite/borer proof, water/moisture proof and fire retardant and fixing with stainless steel butt hinges of required size with necessary full body threaded star headed counter sunk S.S screws  The cost includes cost of materials, transportation, labour and fixing charges.(Cost of Fixtures to be paid separately, 35 mm thickness </t>
    </r>
    <r>
      <rPr>
        <b/>
        <sz val="48"/>
        <color theme="1"/>
        <rFont val="Cambria"/>
        <family val="1"/>
        <scheme val="major"/>
      </rPr>
      <t>ITEM CODE-12.94.2 VOL-2 Page no-101</t>
    </r>
  </si>
  <si>
    <r>
      <t>Providing and laying Polished Granite stone flooring in required design and patterns, in linear as well as curvilinear portions of the building all complete as per the architectural drawings with 18 mm thick stone slab over 20 mm (average) thick base of cement mortar 1:4 (1 cement : 4 coarse sand) laid and jointed with cement slurry and pointing with white cement slurry admixed with pigment of matching shade including rubbing, curing and polishing etc. all complete as specified and as directed by the Engineer-in-Charge.** Polished Granite stone slab Black, Cat Eye, River Pink or equivalent.</t>
    </r>
    <r>
      <rPr>
        <b/>
        <sz val="48"/>
        <rFont val="Cambria"/>
        <family val="1"/>
        <scheme val="major"/>
      </rPr>
      <t>ITEM CODE-9.23 VOL-2 Page no-63</t>
    </r>
  </si>
  <si>
    <r>
      <t>Providing    15 mm cement plaster on the rough side of single or half brick  wall  of  mix  1:4  (1  cement:  4  fine  sand)  including  rounding  off corners wherever required smooth rendering, providing and removing scaffolding, including cost of materials, labour, curing complete as per specifications and as per directions of Engineer-in-charge.</t>
    </r>
    <r>
      <rPr>
        <b/>
        <sz val="48"/>
        <rFont val="Cambria"/>
        <family val="1"/>
        <scheme val="major"/>
      </rPr>
      <t>ITEM- 8.2.1,VOLUME -2 P.NO-41</t>
    </r>
  </si>
  <si>
    <r>
      <t>Providing 20 mm cement plaster of mix :1:6 (1 cement: 6 fine sand) to brick/stone masonry including rounding off corners wherever required smooth rendering, providing and removing scaffolding, including cost ofmaterials, labour, curing complete as per specifications and as per direc tions of Engineer-in-charge.</t>
    </r>
    <r>
      <rPr>
        <b/>
        <sz val="48"/>
        <rFont val="Cambria"/>
        <family val="1"/>
        <scheme val="major"/>
      </rPr>
      <t>Page NO 41 Code:8.3.2Volume-2</t>
    </r>
    <r>
      <rPr>
        <sz val="48"/>
        <rFont val="Cambria"/>
        <family val="1"/>
        <scheme val="major"/>
      </rPr>
      <t xml:space="preserve">
</t>
    </r>
  </si>
  <si>
    <r>
      <t>Providing 6 mm cement plaster with cement mortar 1:3 (1 cement : 3 fine sand) on concrete surface / ceilings including rounding off corners wherever required smooth rendering, providi</t>
    </r>
    <r>
      <rPr>
        <b/>
        <sz val="48"/>
        <rFont val="Cambria"/>
        <family val="1"/>
        <scheme val="major"/>
      </rPr>
      <t xml:space="preserve"> Volume-2 Item 8.10 Page no: 43</t>
    </r>
  </si>
  <si>
    <r>
      <t>Providing and applying white cement based putty of average thickness 1 mm, of approved brand and manufacturer, over the plas</t>
    </r>
    <r>
      <rPr>
        <b/>
        <sz val="48"/>
        <rFont val="Cambria"/>
        <family val="1"/>
        <scheme val="major"/>
      </rPr>
      <t>Item Code8.51vol-2 pageno-50</t>
    </r>
  </si>
  <si>
    <r>
      <t>Finishing with Deluxe Multi surface paint system for interiors and exteriors using Primer as per manufacturers specifications: Two coats applied on walls @ 1.25 L/10 m² over and including one coat of Special primer applied @ 0.75 L/10 m² with paint of approved quality to give an even shade, after thoroughly brooming the surface to remove all dirt, dust, mortar drops and foreign matter including preparing the surface even and sand paper smooth, cost of materials, labour complete as per specifications and as per directions of Engineer-in</t>
    </r>
    <r>
      <rPr>
        <b/>
        <sz val="48"/>
        <rFont val="Cambria"/>
        <family val="1"/>
        <scheme val="major"/>
      </rPr>
      <t>page no:46 Item Code 8.33.1 Volume -2</t>
    </r>
  </si>
  <si>
    <r>
      <t xml:space="preserve">Finishing walls with 100% Premium acrylic emulsion paint having VOC less than 50 g/L and UV resistance as per IS 15489:2004, Alkali &amp; fungal resistance, dirt resistance exterior paint of required shade (Company Depot Tinted) with silicon additives, New work (Two coats applied @ 1.43 L/ 10 m². Over and including priming coat of exterior primer applied @ 0.90 L/10 m² with paint of approved quality to give an even shade, after thoroughly brooming the surface to remove all dirt, dust, mortar drops and foreign matter including preparing the surface even and sand paper smooth, cost of materials, labour </t>
    </r>
    <r>
      <rPr>
        <b/>
        <sz val="48"/>
        <color indexed="8"/>
        <rFont val="Cambria"/>
        <family val="1"/>
        <scheme val="major"/>
      </rPr>
      <t>page no:46 Item Code 8.32 Volume -2</t>
    </r>
  </si>
  <si>
    <t>BBM WALL</t>
  </si>
  <si>
    <t>WALL</t>
  </si>
  <si>
    <t>Stair case wall</t>
  </si>
  <si>
    <t>Windows</t>
  </si>
  <si>
    <t>STAIR CASE</t>
  </si>
  <si>
    <t>LANDING</t>
  </si>
  <si>
    <t>STEPS</t>
  </si>
  <si>
    <t>LIFT</t>
  </si>
  <si>
    <t>Sft</t>
  </si>
  <si>
    <t>Total built up area</t>
  </si>
  <si>
    <t>Shear wall</t>
  </si>
  <si>
    <t>Partation wall</t>
  </si>
  <si>
    <t>Deduct Doors</t>
  </si>
  <si>
    <t>D2</t>
  </si>
  <si>
    <t>STORE</t>
  </si>
  <si>
    <r>
      <t>Providing  Half  brick  masonry  with  common  burnt  clay  Non  Modular bricks of class designation 3.5 in foundations and plinth in   Cement mortar 1:3 (1 cement : 3 coarse sand)  including cost of all materials, labour, scaffolding and usage charges of machinery &amp; other incidental charges complete as per the direction of engineer incharge of work.</t>
    </r>
    <r>
      <rPr>
        <b/>
        <sz val="48"/>
        <color indexed="8"/>
        <rFont val="Cambria"/>
        <family val="1"/>
      </rPr>
      <t>Volume-2 ITEM NO:6.12Page no-13</t>
    </r>
  </si>
  <si>
    <t>Ventilator</t>
  </si>
  <si>
    <t>V</t>
  </si>
  <si>
    <t>Store</t>
  </si>
  <si>
    <t>TOILET</t>
  </si>
  <si>
    <t>DRESSING</t>
  </si>
  <si>
    <t xml:space="preserve">TOILET BLOCK </t>
  </si>
  <si>
    <t>CERAMIC GLAZED TILES</t>
  </si>
  <si>
    <t>Wall Tiles</t>
  </si>
  <si>
    <t>D1</t>
  </si>
  <si>
    <t>5Kg per Sft</t>
  </si>
  <si>
    <t>ACP Sheets</t>
  </si>
  <si>
    <t>2% LABOUR CHARGE FOR SF</t>
  </si>
  <si>
    <t xml:space="preserve">Deduction </t>
  </si>
  <si>
    <t>Door Frames</t>
  </si>
  <si>
    <r>
      <t xml:space="preserve">Providing Honne wood frames of doors, windows, clerestory windows, ventilators and other frames, wrought, framed or assembled including making plaster groves (excluding cost of cement concrete and side clamps), but including cost of materials, labour, usage charges complete as per specifications. </t>
    </r>
    <r>
      <rPr>
        <b/>
        <sz val="48"/>
        <rFont val="Cambria"/>
        <family val="1"/>
        <scheme val="major"/>
      </rPr>
      <t>ITEM CODE-12.11 VOL-2 Page no-101</t>
    </r>
  </si>
  <si>
    <t>Door Shutter</t>
  </si>
  <si>
    <r>
      <t>Providing and fixing in position fully panelled Honne wood shutters for doors with stiles and rails of 40mm. thick with bottom and lock rails 180mm wide top rail and stiles 100mm wide as per drawing and panels of 25mm thick including cost of materials, labour, usage charges complete as per specifications. ( excluding cost of fixtures )</t>
    </r>
    <r>
      <rPr>
        <b/>
        <sz val="48"/>
        <rFont val="Cambria"/>
        <family val="1"/>
        <scheme val="major"/>
      </rPr>
      <t>ITEM CODE-12.11 VOL-2 Page no-104</t>
    </r>
  </si>
  <si>
    <t>glass</t>
  </si>
  <si>
    <t>A</t>
  </si>
  <si>
    <t>C</t>
  </si>
  <si>
    <t>E</t>
  </si>
  <si>
    <t>F</t>
  </si>
  <si>
    <r>
      <t>Providing  and  fixing  glazing  in  aluminium  door,  window,  ventilator shutters  and  partitions  etc.  with  EPDM  rubber  /  neoprene  gasket etc. complete as per the architectural drawings and the directions of engineer-in-charge . (Cost of aluminium snap beading shall be paid in basic item):With float glass panes of 8 mm thickness (weight not less than 20 kg/ m²)  including cost of materials, labour, usage charges of machinery complete as per specifications.</t>
    </r>
    <r>
      <rPr>
        <b/>
        <sz val="48"/>
        <rFont val="Cambria"/>
        <family val="1"/>
        <scheme val="major"/>
      </rPr>
      <t>Item No.11.37.3 PWD DSR Vol-2  2023-24page no:89</t>
    </r>
  </si>
  <si>
    <t>no</t>
  </si>
  <si>
    <t>ALL DROP 300 mm</t>
  </si>
  <si>
    <t>HANDEL 200mm</t>
  </si>
  <si>
    <t>Tower Bolt 250x10mm</t>
  </si>
  <si>
    <t>Tower Bolt 150x10mm</t>
  </si>
  <si>
    <t>ALL DROP 200 mm</t>
  </si>
  <si>
    <t>Door Stoper 75 mm</t>
  </si>
  <si>
    <t>Hinges 100mm</t>
  </si>
  <si>
    <t>Hinges 125mm</t>
  </si>
  <si>
    <t>Door Lock</t>
  </si>
  <si>
    <t>Door Frame</t>
  </si>
  <si>
    <r>
      <t xml:space="preserve"> Demolishing R.C.C. work manually/ by mechanical means including stacking of steel bars and disposal of unserviceable material to the appropriate disposal area as per direction of Engineer-in-charge.</t>
    </r>
    <r>
      <rPr>
        <b/>
        <sz val="48"/>
        <rFont val="Cambria"/>
        <family val="1"/>
        <scheme val="major"/>
      </rPr>
      <t>Volume-2ITEM NO:19.3 Page no-187</t>
    </r>
  </si>
  <si>
    <t xml:space="preserve"> RCC SLAB</t>
  </si>
  <si>
    <t>Skerting</t>
  </si>
  <si>
    <t>VETRIFIED TILES(600*600)</t>
  </si>
  <si>
    <r>
      <t xml:space="preserve"> Providing  and  laying  vitrified  floor  tiles  with thickness 9-10 mm in  
different  sizes  with  water  absorption  less  than  0.08%  and conforming to IS: 15622, of approved make, in all colours and shades, laid on 20mm thick cement mortar 1:4 (1 cement : 4 coarse sand), jointing with grey cement slurry @ 3.3 kg/ m2  including grouting the joints with white cement and matching pigments etc., complete</t>
    </r>
    <r>
      <rPr>
        <b/>
        <sz val="48"/>
        <rFont val="Cambria"/>
        <family val="1"/>
        <scheme val="major"/>
      </rPr>
      <t>Volume-2 Item 9.12.2 Page no: 60</t>
    </r>
  </si>
  <si>
    <t>SECOND  FLOOR ESTIMATION</t>
  </si>
  <si>
    <t>BASIC RATE</t>
  </si>
  <si>
    <t>AREA WEIGHTAGE</t>
  </si>
  <si>
    <t>TOTAL AMOUNT</t>
  </si>
  <si>
    <r>
      <t>Providing and fixing stainless steel Fixtures conforming to 304 graded steel   as per direction of engineer in charge.</t>
    </r>
    <r>
      <rPr>
        <b/>
        <sz val="48"/>
        <rFont val="Cambria"/>
        <family val="1"/>
        <scheme val="major"/>
      </rPr>
      <t>Item No.22.15. 1PWD DSR Vol-2  2023-24page no:218</t>
    </r>
  </si>
  <si>
    <r>
      <t xml:space="preserve">Designing, fabricating, testing, protection, installing and fixing in position semi (grid) unitized system of structural glazing (with open joints) for linear as well as curvilinear portions of the building for all heights and all levels, including:(a) Structural analysis &amp; design and preparation of shop drawings for the specified design loads conforming to IS 875 part III (the system must passed the proof test at 1.5 times design wind pressure without any failure), including functional design of the aluminum sections for fixing glazing panels of various thicknesses, aluminium cleats, sleeves and splice plates etc. gaskets, screws, toggles, nuts, bolts, clamps etc.structural and weather silicone sealants, flashings, fire stop (barrier)-cumsmoke seals, microwave cured EPDM gaskets for water tightness, pressure equalisation &amp; drainage and protection against fire hazard complete specification. </t>
    </r>
    <r>
      <rPr>
        <b/>
        <sz val="48"/>
        <rFont val="Cambria"/>
        <family val="1"/>
        <scheme val="major"/>
      </rPr>
      <t>Item No.18.2 PWD DSR Vol-2  2023-24</t>
    </r>
  </si>
  <si>
    <r>
      <t>Providing and fixing stainless steel Fixtures conforming to 304 graded steel   as per direction of engineer in charge</t>
    </r>
    <r>
      <rPr>
        <b/>
        <sz val="48"/>
        <rFont val="Cambria"/>
        <family val="1"/>
        <scheme val="major"/>
      </rPr>
      <t>Sl No.128 PWD DSR Vol-2  2023-24page no:A-20</t>
    </r>
  </si>
  <si>
    <r>
      <t>Providing and fixing stainless steel Fixtures conforming to 304 graded steel   as per direction of engineer in charge.</t>
    </r>
    <r>
      <rPr>
        <b/>
        <sz val="48"/>
        <rFont val="Cambria"/>
        <family val="1"/>
        <scheme val="major"/>
      </rPr>
      <t>Item No.22.15. 5 PWD DSR Vol-2  2023-24page no:218</t>
    </r>
  </si>
  <si>
    <r>
      <t>Providing and fixing stainless steel Fixtures conforming to 304 graded steel   as per direction of engineer in charge.</t>
    </r>
    <r>
      <rPr>
        <b/>
        <sz val="48"/>
        <rFont val="Cambria"/>
        <family val="1"/>
        <scheme val="major"/>
      </rPr>
      <t>Item No.22.15. 4 PWD DSR Vol-2  2023-24page no:218</t>
    </r>
  </si>
  <si>
    <r>
      <t xml:space="preserve">Providing and laying Ceramic glazed floor tiles of size 300x300 mm (thickness to be specified by the manufacturer), of 1st quality conforming to IS : 15622, of approved make, in all colours, shades, except White, Ivory, Grey, Fume Red Brown, laid on 20 mm thick bed of cement mortar 1:4 (1 Cement : 4 Coarse sand), jointing with grey cement slurry @ 3.3 kg/ m2 including pointing the joints with white cement and matching pigments etc., </t>
    </r>
    <r>
      <rPr>
        <b/>
        <sz val="48"/>
        <rFont val="Cambria"/>
        <family val="1"/>
        <scheme val="major"/>
      </rPr>
      <t>Item Code-9.10.5vol-2 pageno-60</t>
    </r>
  </si>
  <si>
    <r>
      <t>Providing and fixing stainless steel Fixtures conforming to 304 graded steel   as per direction of engineer in charge.</t>
    </r>
    <r>
      <rPr>
        <b/>
        <sz val="48"/>
        <rFont val="Cambria"/>
        <family val="1"/>
        <scheme val="major"/>
      </rPr>
      <t>Item No.22.15. 10 PWD DSR Vol-2  2023-24page no:218</t>
    </r>
  </si>
  <si>
    <r>
      <t xml:space="preserve">Providing and fixing of Aluminium composite panel of approved make and colour for wall cladding for Brick/Rcc/stone walls &amp; coloumns/beams with necessary aluminium frame works at required level made out of 50x25x4mm C section or equivalent. The panel should consist of 3mm thick non-halogenated FR grade mineral based polymer ( 2 hrs fire resistanceas per ASTM E119-12 and clause B, S1, do as per ENT 13501-1sandwiched between 0.50 skins thick aluminium sheet making a total panel thickness of 4mm. The surfaces will be finished with PVDF based coating on topsides and service coating on reverse sides would be in polyesterpaint. The system shall be fixed using GI brackets, aluminium L cleats and stainless steel bolts and nuts complete with spring washer and cap nuts and all other necessary accessories, sealing shall be done with necessary rods etc., complete </t>
    </r>
    <r>
      <rPr>
        <b/>
        <sz val="48"/>
        <rFont val="Cambria"/>
        <family val="1"/>
        <scheme val="major"/>
      </rPr>
      <t xml:space="preserve"> Item No.10.15.1 PWD DSR Vol-2  2023-24</t>
    </r>
  </si>
  <si>
    <r>
      <t>Painting  wood  work  with  Deluxe  Multi  Surface  Paint  of  required shade. Two coat applied @ 0.90L/10 m² over an under coat of primer applied @0.75 L/10 m² of approved brand and manufacture to give an even shadeincluding preparing the surface after thorougly cleaning oil, grease, dirt and foreign matter, sand papering and knotting , cost of materials, labour complete as per specifications and as per directions of Engineer-in-charge..I</t>
    </r>
    <r>
      <rPr>
        <b/>
        <sz val="48"/>
        <rFont val="Cambria"/>
        <family val="1"/>
        <scheme val="major"/>
      </rPr>
      <t>tem No.8.3.3.2 PWD DSR Vol-2  2023-24 PAGE NO:46</t>
    </r>
  </si>
  <si>
    <r>
      <t>Providing and fixing 1st quality ceramic glazed wall tiles conforming to IS: 15622 (thickness to be specified by the manufacturer), of approved make, in all colours, shades except burgundy, bottle green, black of any size as approved by Engineer- in-Charge, in skirting, risers of steps and dados, over 12 mm thick bed of cement mortar 1:3 (1 cement : 3 coarse sand) and jointing with grey cement slurry @ 3.3kg/m2, including pointing in white cement mixed with pigment of matching shade complete..</t>
    </r>
    <r>
      <rPr>
        <b/>
        <sz val="48"/>
        <rFont val="Cambria"/>
        <family val="1"/>
        <scheme val="major"/>
      </rPr>
      <t>Item Code-9.10 vol-2 pageno-60</t>
    </r>
  </si>
  <si>
    <r>
      <t>Providing skirting, dadooing, rises of steps with white glazed tiles 6mm thick on 10mm thick cement plaster 1:3 and jointed with white cement slurry over existing rough plaster surface using glazed tiles of approved make and size including cost of materials, labour, complete as per specifications.</t>
    </r>
    <r>
      <rPr>
        <b/>
        <sz val="48"/>
        <color theme="1"/>
        <rFont val="Cambria"/>
        <family val="1"/>
        <scheme val="major"/>
      </rPr>
      <t>Item Code8.51 vol-2 pageno-50</t>
    </r>
  </si>
</sst>
</file>

<file path=xl/styles.xml><?xml version="1.0" encoding="utf-8"?>
<styleSheet xmlns="http://schemas.openxmlformats.org/spreadsheetml/2006/main">
  <numFmts count="3">
    <numFmt numFmtId="43" formatCode="_ * #,##0.00_ ;_ * \-#,##0.00_ ;_ * &quot;-&quot;??_ ;_ @_ "/>
    <numFmt numFmtId="164" formatCode="_(* #,##0.00_);_(* \(#,##0.00\);_(* &quot;-&quot;??_);_(@_)"/>
    <numFmt numFmtId="167" formatCode="0.0"/>
  </numFmts>
  <fonts count="25">
    <font>
      <sz val="11"/>
      <color theme="1"/>
      <name val="Calibri"/>
      <family val="2"/>
      <scheme val="minor"/>
    </font>
    <font>
      <sz val="11"/>
      <color theme="1"/>
      <name val="Calibri"/>
      <family val="2"/>
      <scheme val="minor"/>
    </font>
    <font>
      <sz val="48"/>
      <color theme="1"/>
      <name val="Calibri"/>
      <family val="2"/>
      <scheme val="minor"/>
    </font>
    <font>
      <b/>
      <sz val="48"/>
      <name val="Cambria"/>
      <family val="1"/>
      <scheme val="major"/>
    </font>
    <font>
      <sz val="12"/>
      <color theme="1"/>
      <name val="Cambria"/>
      <family val="1"/>
      <scheme val="major"/>
    </font>
    <font>
      <sz val="11"/>
      <color indexed="8"/>
      <name val="Calibri"/>
      <family val="2"/>
    </font>
    <font>
      <b/>
      <sz val="48"/>
      <name val="Cambria"/>
      <family val="1"/>
    </font>
    <font>
      <sz val="48"/>
      <name val="Cambria"/>
      <family val="1"/>
      <scheme val="major"/>
    </font>
    <font>
      <b/>
      <sz val="48"/>
      <color theme="1"/>
      <name val="Cambria"/>
      <family val="1"/>
      <scheme val="major"/>
    </font>
    <font>
      <b/>
      <sz val="48"/>
      <color theme="1"/>
      <name val="Calibri"/>
      <family val="2"/>
      <scheme val="minor"/>
    </font>
    <font>
      <sz val="48"/>
      <color theme="1"/>
      <name val="Cambria"/>
      <family val="1"/>
      <scheme val="major"/>
    </font>
    <font>
      <b/>
      <sz val="48"/>
      <color indexed="8"/>
      <name val="Cambria"/>
      <family val="1"/>
      <scheme val="major"/>
    </font>
    <font>
      <b/>
      <sz val="72"/>
      <name val="Cambria"/>
      <family val="1"/>
      <scheme val="major"/>
    </font>
    <font>
      <sz val="36"/>
      <color theme="1"/>
      <name val="Cambria"/>
      <family val="1"/>
      <scheme val="major"/>
    </font>
    <font>
      <vertAlign val="superscript"/>
      <sz val="48"/>
      <name val="Cambria"/>
      <family val="1"/>
    </font>
    <font>
      <sz val="48"/>
      <color indexed="8"/>
      <name val="Cambria"/>
      <family val="1"/>
      <scheme val="major"/>
    </font>
    <font>
      <sz val="48"/>
      <color indexed="8"/>
      <name val="Cambria"/>
      <family val="1"/>
    </font>
    <font>
      <b/>
      <sz val="48"/>
      <color indexed="8"/>
      <name val="Cambria"/>
      <family val="1"/>
    </font>
    <font>
      <sz val="40"/>
      <name val="Cambria"/>
      <family val="1"/>
      <scheme val="major"/>
    </font>
    <font>
      <b/>
      <sz val="40"/>
      <name val="Cambria"/>
      <family val="1"/>
      <scheme val="major"/>
    </font>
    <font>
      <sz val="48"/>
      <name val="Univers Condensed"/>
      <family val="2"/>
    </font>
    <font>
      <sz val="48"/>
      <name val="Arial"/>
      <family val="2"/>
    </font>
    <font>
      <b/>
      <sz val="48"/>
      <name val="Univers Condensed"/>
      <family val="2"/>
    </font>
    <font>
      <b/>
      <sz val="48"/>
      <name val="Arial"/>
      <family val="2"/>
    </font>
    <font>
      <b/>
      <sz val="48"/>
      <name val="Tahoma"/>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8">
    <xf numFmtId="0" fontId="0" fillId="0" borderId="0"/>
    <xf numFmtId="0" fontId="1" fillId="0" borderId="0"/>
    <xf numFmtId="164" fontId="5" fillId="0" borderId="0" applyFont="0" applyFill="0" applyBorder="0" applyAlignment="0" applyProtection="0"/>
    <xf numFmtId="0" fontId="1" fillId="0" borderId="0"/>
    <xf numFmtId="0" fontId="1" fillId="0" borderId="0"/>
    <xf numFmtId="0" fontId="1" fillId="0" borderId="0"/>
    <xf numFmtId="0" fontId="1" fillId="0" borderId="0"/>
    <xf numFmtId="164" fontId="1" fillId="0" borderId="0" applyFont="0" applyFill="0" applyBorder="0" applyAlignment="0" applyProtection="0"/>
  </cellStyleXfs>
  <cellXfs count="177">
    <xf numFmtId="0" fontId="0" fillId="0" borderId="0" xfId="0"/>
    <xf numFmtId="0" fontId="4" fillId="0" borderId="0" xfId="0" applyFont="1" applyBorder="1"/>
    <xf numFmtId="4" fontId="21" fillId="0" borderId="0" xfId="0" applyNumberFormat="1" applyFont="1" applyBorder="1"/>
    <xf numFmtId="4" fontId="22" fillId="0" borderId="0" xfId="0" applyNumberFormat="1" applyFont="1" applyBorder="1" applyAlignment="1">
      <alignment wrapText="1"/>
    </xf>
    <xf numFmtId="164" fontId="8" fillId="0" borderId="0" xfId="0" applyNumberFormat="1" applyFont="1" applyBorder="1" applyAlignment="1">
      <alignment vertical="center"/>
    </xf>
    <xf numFmtId="0" fontId="0" fillId="0" borderId="0" xfId="0" applyBorder="1"/>
    <xf numFmtId="0" fontId="2" fillId="0" borderId="0" xfId="0" applyFont="1" applyBorder="1"/>
    <xf numFmtId="0" fontId="3" fillId="0" borderId="0" xfId="1" applyFont="1" applyFill="1" applyBorder="1" applyAlignment="1">
      <alignment horizontal="center" vertical="center" wrapText="1"/>
    </xf>
    <xf numFmtId="0" fontId="3" fillId="0" borderId="0" xfId="1" applyFont="1" applyFill="1" applyBorder="1" applyAlignment="1" applyProtection="1">
      <alignment horizontal="center" vertical="center"/>
    </xf>
    <xf numFmtId="164" fontId="3" fillId="0" borderId="0" xfId="1" applyNumberFormat="1" applyFont="1" applyFill="1" applyBorder="1" applyAlignment="1" applyProtection="1">
      <alignment horizontal="center" vertical="center"/>
    </xf>
    <xf numFmtId="164" fontId="3" fillId="0" borderId="0" xfId="1" applyNumberFormat="1" applyFont="1" applyFill="1" applyBorder="1" applyAlignment="1" applyProtection="1">
      <alignment horizontal="center" vertical="center" wrapText="1"/>
    </xf>
    <xf numFmtId="164" fontId="3" fillId="0" borderId="0" xfId="1" applyNumberFormat="1" applyFont="1" applyFill="1" applyBorder="1" applyAlignment="1" applyProtection="1">
      <alignment horizontal="center"/>
    </xf>
    <xf numFmtId="0" fontId="3" fillId="0" borderId="0" xfId="1" applyFont="1" applyFill="1" applyBorder="1" applyAlignment="1">
      <alignment vertical="center" wrapText="1"/>
    </xf>
    <xf numFmtId="2" fontId="3" fillId="0" borderId="0" xfId="1" applyNumberFormat="1" applyFont="1" applyFill="1" applyBorder="1" applyAlignment="1">
      <alignment vertical="center" wrapText="1"/>
    </xf>
    <xf numFmtId="0" fontId="3" fillId="0" borderId="0" xfId="1" applyFont="1" applyFill="1" applyBorder="1" applyAlignment="1" applyProtection="1">
      <alignment horizontal="center" vertical="top"/>
    </xf>
    <xf numFmtId="0" fontId="3" fillId="0" borderId="0" xfId="1" applyFont="1" applyFill="1" applyBorder="1" applyAlignment="1" applyProtection="1">
      <alignment vertical="top"/>
    </xf>
    <xf numFmtId="164" fontId="3" fillId="0" borderId="0" xfId="1" applyNumberFormat="1" applyFont="1" applyFill="1" applyBorder="1" applyAlignment="1">
      <alignment horizontal="center" vertical="center" wrapText="1"/>
    </xf>
    <xf numFmtId="0" fontId="0" fillId="0" borderId="0" xfId="0" applyNumberFormat="1" applyBorder="1"/>
    <xf numFmtId="0" fontId="3" fillId="0" borderId="0" xfId="1" applyFont="1" applyFill="1" applyBorder="1" applyAlignment="1">
      <alignment horizontal="center" vertical="top" wrapText="1"/>
    </xf>
    <xf numFmtId="0" fontId="2" fillId="0" borderId="0" xfId="1" applyFont="1" applyFill="1" applyBorder="1" applyAlignment="1">
      <alignment horizontal="center" vertical="top" wrapText="1"/>
    </xf>
    <xf numFmtId="0" fontId="2" fillId="0" borderId="0" xfId="1" applyFont="1" applyFill="1" applyBorder="1" applyAlignment="1">
      <alignment horizontal="center" vertical="center" wrapText="1"/>
    </xf>
    <xf numFmtId="0" fontId="2" fillId="0" borderId="0" xfId="1" applyFont="1" applyFill="1" applyBorder="1" applyAlignment="1">
      <alignment horizontal="justify" vertical="top" wrapText="1"/>
    </xf>
    <xf numFmtId="164" fontId="7" fillId="0" borderId="0" xfId="1" applyNumberFormat="1" applyFont="1" applyFill="1" applyBorder="1" applyAlignment="1">
      <alignment horizontal="center" vertical="justify" wrapText="1"/>
    </xf>
    <xf numFmtId="0" fontId="3" fillId="0" borderId="0" xfId="1" applyFont="1" applyFill="1" applyBorder="1" applyAlignment="1">
      <alignment horizontal="center" vertical="center"/>
    </xf>
    <xf numFmtId="0" fontId="7" fillId="0" borderId="0" xfId="1" applyFont="1" applyFill="1" applyBorder="1" applyAlignment="1">
      <alignment horizontal="center" vertical="center" wrapText="1"/>
    </xf>
    <xf numFmtId="164" fontId="7" fillId="0" borderId="0" xfId="1" applyNumberFormat="1" applyFont="1" applyFill="1" applyBorder="1" applyAlignment="1">
      <alignment wrapText="1"/>
    </xf>
    <xf numFmtId="164" fontId="7" fillId="0" borderId="0" xfId="1" applyNumberFormat="1" applyFont="1" applyFill="1" applyBorder="1" applyAlignment="1">
      <alignment horizontal="center" vertical="center" wrapText="1"/>
    </xf>
    <xf numFmtId="0" fontId="7" fillId="0" borderId="0" xfId="1" applyFont="1" applyFill="1" applyBorder="1" applyAlignment="1" applyProtection="1">
      <alignment horizontal="center" vertical="top" wrapText="1"/>
    </xf>
    <xf numFmtId="1" fontId="7" fillId="0" borderId="0" xfId="1" applyNumberFormat="1" applyFont="1" applyFill="1" applyBorder="1" applyAlignment="1" applyProtection="1">
      <alignment horizontal="center" vertical="center"/>
    </xf>
    <xf numFmtId="164" fontId="7" fillId="0" borderId="0" xfId="1" applyNumberFormat="1" applyFont="1" applyFill="1" applyBorder="1" applyAlignment="1" applyProtection="1">
      <alignment horizontal="center" vertical="center"/>
    </xf>
    <xf numFmtId="0" fontId="10" fillId="0" borderId="0" xfId="1" applyFont="1" applyFill="1" applyBorder="1" applyAlignment="1">
      <alignment horizontal="center" vertical="top" wrapText="1"/>
    </xf>
    <xf numFmtId="0" fontId="8" fillId="0" borderId="0" xfId="1" applyFont="1" applyFill="1" applyBorder="1" applyAlignment="1">
      <alignment horizontal="center" vertical="top" wrapText="1"/>
    </xf>
    <xf numFmtId="164" fontId="3" fillId="0" borderId="0" xfId="1" applyNumberFormat="1" applyFont="1" applyFill="1" applyBorder="1" applyAlignment="1">
      <alignment wrapText="1"/>
    </xf>
    <xf numFmtId="0" fontId="7" fillId="0" borderId="0" xfId="1" applyFont="1" applyFill="1" applyBorder="1" applyAlignment="1" applyProtection="1">
      <alignment horizontal="center" vertical="top"/>
    </xf>
    <xf numFmtId="164" fontId="10" fillId="0" borderId="0" xfId="1" applyNumberFormat="1" applyFont="1" applyFill="1" applyBorder="1" applyAlignment="1">
      <alignment horizontal="center" vertical="center" wrapText="1"/>
    </xf>
    <xf numFmtId="0" fontId="2" fillId="0" borderId="0" xfId="0" applyFont="1" applyBorder="1" applyAlignment="1">
      <alignment horizontal="center"/>
    </xf>
    <xf numFmtId="0" fontId="3" fillId="0" borderId="0" xfId="1" applyFont="1" applyFill="1" applyBorder="1" applyAlignment="1">
      <alignment horizontal="center" vertical="justify" wrapText="1"/>
    </xf>
    <xf numFmtId="164" fontId="3" fillId="0" borderId="0" xfId="1" applyNumberFormat="1" applyFont="1" applyFill="1" applyBorder="1" applyAlignment="1">
      <alignment horizontal="center" vertical="justify" wrapText="1"/>
    </xf>
    <xf numFmtId="0" fontId="7" fillId="0" borderId="0" xfId="1" applyFont="1" applyFill="1" applyBorder="1" applyAlignment="1" applyProtection="1">
      <alignment horizontal="center" vertical="center"/>
    </xf>
    <xf numFmtId="0" fontId="3" fillId="0" borderId="0" xfId="1" applyFont="1" applyFill="1" applyBorder="1" applyAlignment="1" applyProtection="1">
      <alignment horizontal="left" vertical="top"/>
    </xf>
    <xf numFmtId="0" fontId="3" fillId="0" borderId="0" xfId="1" applyFont="1" applyFill="1" applyBorder="1" applyAlignment="1">
      <alignment horizontal="left" vertical="center" wrapText="1"/>
    </xf>
    <xf numFmtId="0" fontId="8" fillId="0" borderId="0" xfId="1" applyFont="1" applyFill="1" applyBorder="1" applyAlignment="1">
      <alignment horizontal="left" vertical="top" wrapText="1"/>
    </xf>
    <xf numFmtId="0" fontId="3" fillId="0" borderId="0" xfId="1" applyFont="1" applyFill="1" applyBorder="1" applyAlignment="1">
      <alignment horizontal="center" wrapText="1"/>
    </xf>
    <xf numFmtId="0" fontId="10" fillId="0" borderId="0" xfId="1" applyFont="1" applyFill="1" applyBorder="1" applyAlignment="1" applyProtection="1">
      <alignment horizontal="center" vertical="top"/>
    </xf>
    <xf numFmtId="0" fontId="10" fillId="0" borderId="0" xfId="1" applyFont="1" applyFill="1" applyBorder="1" applyAlignment="1">
      <alignment horizontal="center" vertical="center" wrapText="1"/>
    </xf>
    <xf numFmtId="1" fontId="10" fillId="0" borderId="0" xfId="1" applyNumberFormat="1" applyFont="1" applyFill="1" applyBorder="1" applyAlignment="1" applyProtection="1">
      <alignment horizontal="center" vertical="center"/>
    </xf>
    <xf numFmtId="164" fontId="8" fillId="0" borderId="0" xfId="1" applyNumberFormat="1" applyFont="1" applyFill="1" applyBorder="1" applyAlignment="1" applyProtection="1">
      <alignment horizontal="center" vertical="center"/>
    </xf>
    <xf numFmtId="164" fontId="8" fillId="0" borderId="0" xfId="1" applyNumberFormat="1" applyFont="1" applyFill="1" applyBorder="1" applyAlignment="1">
      <alignment horizontal="center" vertical="center" wrapText="1"/>
    </xf>
    <xf numFmtId="164" fontId="10" fillId="0" borderId="0" xfId="1" applyNumberFormat="1" applyFont="1" applyFill="1" applyBorder="1" applyAlignment="1" applyProtection="1">
      <alignment horizontal="center" vertical="center"/>
    </xf>
    <xf numFmtId="164" fontId="13" fillId="0" borderId="0" xfId="1" applyNumberFormat="1" applyFont="1" applyFill="1" applyBorder="1" applyAlignment="1" applyProtection="1">
      <alignment horizontal="center" vertical="center"/>
    </xf>
    <xf numFmtId="0" fontId="3" fillId="0" borderId="0" xfId="1" applyFont="1" applyFill="1" applyBorder="1" applyAlignment="1">
      <alignment horizontal="left" vertical="top" wrapText="1"/>
    </xf>
    <xf numFmtId="0" fontId="11" fillId="2" borderId="0" xfId="1" applyNumberFormat="1" applyFont="1" applyFill="1" applyBorder="1" applyAlignment="1">
      <alignment horizontal="center" vertical="center" wrapText="1"/>
    </xf>
    <xf numFmtId="0" fontId="7" fillId="0" borderId="0" xfId="1" applyFont="1" applyFill="1" applyBorder="1" applyAlignment="1">
      <alignment horizontal="center" vertical="justify" wrapText="1"/>
    </xf>
    <xf numFmtId="0" fontId="7" fillId="0" borderId="0" xfId="1" applyFont="1" applyFill="1" applyBorder="1" applyAlignment="1">
      <alignment horizontal="justify" vertical="justify" wrapText="1"/>
    </xf>
    <xf numFmtId="0" fontId="3" fillId="0" borderId="0" xfId="1" applyNumberFormat="1" applyFont="1" applyFill="1" applyBorder="1" applyAlignment="1">
      <alignment horizontal="center" vertical="center" wrapText="1"/>
    </xf>
    <xf numFmtId="0" fontId="7" fillId="0" borderId="0" xfId="1" applyFont="1" applyFill="1" applyBorder="1" applyAlignment="1" applyProtection="1">
      <alignment vertical="top"/>
    </xf>
    <xf numFmtId="0" fontId="7" fillId="0" borderId="0" xfId="1" applyFont="1" applyFill="1" applyBorder="1" applyAlignment="1">
      <alignment vertical="center" wrapText="1"/>
    </xf>
    <xf numFmtId="43" fontId="7" fillId="0" borderId="0" xfId="1" applyNumberFormat="1" applyFont="1" applyFill="1" applyBorder="1" applyAlignment="1" applyProtection="1">
      <alignment horizontal="center" vertical="center"/>
    </xf>
    <xf numFmtId="0" fontId="7" fillId="0" borderId="0" xfId="1" applyFont="1" applyFill="1" applyBorder="1" applyAlignment="1" applyProtection="1">
      <alignment horizontal="left" vertical="top"/>
    </xf>
    <xf numFmtId="0" fontId="0" fillId="0" borderId="0" xfId="0" applyBorder="1" applyAlignment="1">
      <alignment horizontal="center"/>
    </xf>
    <xf numFmtId="0" fontId="10" fillId="0" borderId="0" xfId="1" applyFont="1" applyFill="1" applyBorder="1" applyAlignment="1">
      <alignment horizontal="left" vertical="top" wrapText="1"/>
    </xf>
    <xf numFmtId="1" fontId="8" fillId="0" borderId="0" xfId="1" applyNumberFormat="1" applyFont="1" applyFill="1" applyBorder="1" applyAlignment="1">
      <alignment horizontal="center" vertical="center" wrapText="1"/>
    </xf>
    <xf numFmtId="0" fontId="8" fillId="0" borderId="0" xfId="1" applyNumberFormat="1" applyFont="1" applyFill="1" applyBorder="1" applyAlignment="1">
      <alignment horizontal="center" vertical="center" wrapText="1"/>
    </xf>
    <xf numFmtId="0" fontId="8" fillId="0" borderId="0" xfId="1" applyFont="1" applyFill="1" applyBorder="1" applyAlignment="1" applyProtection="1">
      <alignment horizontal="left" vertical="top"/>
    </xf>
    <xf numFmtId="0" fontId="8" fillId="0" borderId="0" xfId="1" applyFont="1" applyFill="1" applyBorder="1" applyAlignment="1">
      <alignment horizontal="center" vertical="center" wrapText="1"/>
    </xf>
    <xf numFmtId="0" fontId="10" fillId="0" borderId="0" xfId="1" applyFont="1" applyFill="1" applyBorder="1" applyAlignment="1">
      <alignment horizontal="center" wrapText="1"/>
    </xf>
    <xf numFmtId="164" fontId="10" fillId="0" borderId="0" xfId="1" applyNumberFormat="1" applyFont="1" applyFill="1" applyBorder="1" applyAlignment="1">
      <alignment horizontal="center" wrapText="1"/>
    </xf>
    <xf numFmtId="164" fontId="10" fillId="0" borderId="0" xfId="1" applyNumberFormat="1" applyFont="1" applyFill="1" applyBorder="1" applyAlignment="1">
      <alignment wrapText="1"/>
    </xf>
    <xf numFmtId="0" fontId="10" fillId="0" borderId="0" xfId="1" applyFont="1" applyBorder="1"/>
    <xf numFmtId="0" fontId="10" fillId="0" borderId="0" xfId="1" applyFont="1" applyFill="1" applyBorder="1" applyAlignment="1" applyProtection="1">
      <alignment horizontal="left" vertical="top"/>
    </xf>
    <xf numFmtId="0" fontId="8" fillId="0" borderId="0" xfId="1" applyFont="1" applyFill="1" applyBorder="1" applyAlignment="1">
      <alignment horizontal="center" vertical="justify" wrapText="1"/>
    </xf>
    <xf numFmtId="164" fontId="8" fillId="0" borderId="0" xfId="1" applyNumberFormat="1" applyFont="1" applyFill="1" applyBorder="1" applyAlignment="1">
      <alignment horizontal="center" vertical="justify" wrapText="1"/>
    </xf>
    <xf numFmtId="0" fontId="6" fillId="0" borderId="0" xfId="0" applyNumberFormat="1" applyFont="1" applyFill="1" applyBorder="1" applyAlignment="1" applyProtection="1">
      <alignment horizontal="center"/>
    </xf>
    <xf numFmtId="0" fontId="8" fillId="0" borderId="0" xfId="0" applyFont="1" applyBorder="1" applyAlignment="1">
      <alignment horizontal="center"/>
    </xf>
    <xf numFmtId="1" fontId="11" fillId="2" borderId="0" xfId="1"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Fill="1" applyBorder="1" applyAlignment="1" applyProtection="1">
      <alignment horizontal="center" vertical="top"/>
    </xf>
    <xf numFmtId="0" fontId="7" fillId="0" borderId="0" xfId="0" applyFont="1" applyFill="1" applyBorder="1" applyAlignment="1">
      <alignment horizontal="center" vertical="center" wrapText="1"/>
    </xf>
    <xf numFmtId="1" fontId="7" fillId="0" borderId="0" xfId="0" applyNumberFormat="1" applyFont="1" applyFill="1" applyBorder="1" applyAlignment="1" applyProtection="1">
      <alignment horizontal="center" vertical="center"/>
    </xf>
    <xf numFmtId="164" fontId="7" fillId="0" borderId="0" xfId="0" applyNumberFormat="1" applyFont="1" applyFill="1" applyBorder="1" applyAlignment="1" applyProtection="1">
      <alignment horizontal="center" vertical="center"/>
    </xf>
    <xf numFmtId="164" fontId="7" fillId="0" borderId="0" xfId="0" applyNumberFormat="1" applyFont="1" applyFill="1" applyBorder="1" applyAlignment="1">
      <alignment horizontal="center" vertical="center" wrapText="1"/>
    </xf>
    <xf numFmtId="0" fontId="7" fillId="0" borderId="0"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1" fontId="3"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horizontal="center"/>
    </xf>
    <xf numFmtId="164" fontId="7" fillId="0" borderId="0" xfId="0" applyNumberFormat="1" applyFont="1" applyFill="1" applyBorder="1" applyAlignment="1" applyProtection="1">
      <alignment horizontal="center" vertical="center" wrapText="1"/>
    </xf>
    <xf numFmtId="0" fontId="7" fillId="0" borderId="0" xfId="0" applyFont="1" applyFill="1" applyBorder="1" applyAlignment="1" applyProtection="1">
      <alignment horizontal="left" vertical="top" wrapText="1"/>
    </xf>
    <xf numFmtId="164" fontId="3" fillId="0" borderId="0" xfId="2" applyNumberFormat="1" applyFont="1" applyFill="1" applyBorder="1" applyAlignment="1">
      <alignment horizontal="center" vertical="center"/>
    </xf>
    <xf numFmtId="0" fontId="7" fillId="0" borderId="0" xfId="0" applyFont="1" applyFill="1" applyBorder="1" applyAlignment="1" applyProtection="1">
      <alignment horizontal="center" vertical="top" wrapText="1"/>
    </xf>
    <xf numFmtId="0" fontId="3" fillId="0" borderId="0" xfId="0" applyFont="1" applyFill="1" applyBorder="1" applyAlignment="1" applyProtection="1">
      <alignment horizontal="left" vertical="top"/>
    </xf>
    <xf numFmtId="0" fontId="7" fillId="0" borderId="0" xfId="1" applyFont="1" applyFill="1" applyBorder="1" applyAlignment="1" applyProtection="1">
      <alignment horizontal="center"/>
    </xf>
    <xf numFmtId="0" fontId="7" fillId="0" borderId="0" xfId="1" applyFont="1" applyFill="1" applyBorder="1" applyAlignment="1">
      <alignment horizontal="center" vertical="center"/>
    </xf>
    <xf numFmtId="0" fontId="3" fillId="0" borderId="0" xfId="0" applyFont="1" applyFill="1" applyBorder="1" applyAlignment="1">
      <alignment horizontal="left" vertical="top" wrapText="1"/>
    </xf>
    <xf numFmtId="164" fontId="3" fillId="0" borderId="0" xfId="0" applyNumberFormat="1" applyFont="1" applyFill="1" applyBorder="1" applyAlignment="1">
      <alignment horizontal="center" vertical="justify" wrapText="1"/>
    </xf>
    <xf numFmtId="0" fontId="7" fillId="0" borderId="0" xfId="0" applyFont="1" applyFill="1" applyBorder="1" applyAlignment="1" applyProtection="1">
      <alignment horizontal="left" vertical="top"/>
    </xf>
    <xf numFmtId="164" fontId="7" fillId="0" borderId="0" xfId="0" applyNumberFormat="1" applyFont="1" applyFill="1" applyBorder="1" applyAlignment="1">
      <alignment horizontal="center" wrapText="1"/>
    </xf>
    <xf numFmtId="0" fontId="3" fillId="0" borderId="0" xfId="0" applyFont="1" applyFill="1" applyBorder="1" applyAlignment="1">
      <alignment horizontal="center" vertical="center"/>
    </xf>
    <xf numFmtId="0" fontId="7" fillId="0" borderId="0" xfId="0" applyFont="1" applyFill="1" applyBorder="1" applyAlignment="1">
      <alignment horizontal="center" vertical="top" wrapText="1"/>
    </xf>
    <xf numFmtId="0" fontId="7" fillId="0" borderId="0" xfId="0" applyFont="1" applyFill="1" applyBorder="1" applyAlignment="1">
      <alignment horizontal="left" vertical="top" wrapText="1"/>
    </xf>
    <xf numFmtId="164" fontId="10" fillId="0" borderId="0" xfId="0" applyNumberFormat="1" applyFont="1" applyFill="1" applyBorder="1" applyAlignment="1">
      <alignment horizontal="center" vertical="center" wrapText="1"/>
    </xf>
    <xf numFmtId="0" fontId="3" fillId="0" borderId="0" xfId="1" applyFont="1" applyFill="1" applyBorder="1" applyAlignment="1" applyProtection="1">
      <alignment horizontal="left" vertical="center"/>
    </xf>
    <xf numFmtId="0" fontId="10" fillId="0" borderId="0" xfId="0" applyFont="1" applyBorder="1" applyAlignment="1">
      <alignment horizontal="center"/>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top" wrapText="1"/>
    </xf>
    <xf numFmtId="0" fontId="7" fillId="0" borderId="0" xfId="0" applyFont="1" applyFill="1" applyBorder="1" applyAlignment="1" applyProtection="1">
      <alignment horizontal="left"/>
    </xf>
    <xf numFmtId="0" fontId="3" fillId="0" borderId="0" xfId="0" applyNumberFormat="1" applyFont="1" applyFill="1" applyBorder="1" applyAlignment="1">
      <alignment horizontal="center" vertical="center" wrapText="1"/>
    </xf>
    <xf numFmtId="0" fontId="3" fillId="0" borderId="0" xfId="0" applyFont="1" applyFill="1" applyBorder="1" applyAlignment="1">
      <alignment horizontal="center" vertical="top" wrapText="1"/>
    </xf>
    <xf numFmtId="0" fontId="3" fillId="0" borderId="0" xfId="0" applyFont="1" applyFill="1" applyBorder="1" applyAlignment="1">
      <alignment horizontal="center" vertical="justify" wrapText="1"/>
    </xf>
    <xf numFmtId="0" fontId="3" fillId="0" borderId="0" xfId="0" applyFont="1" applyFill="1" applyBorder="1" applyAlignment="1" applyProtection="1">
      <alignment vertical="top"/>
    </xf>
    <xf numFmtId="1" fontId="3" fillId="0" borderId="0" xfId="1" applyNumberFormat="1" applyFont="1" applyFill="1" applyBorder="1" applyAlignment="1">
      <alignment horizontal="center" vertical="center" wrapText="1"/>
    </xf>
    <xf numFmtId="0" fontId="7" fillId="0" borderId="0" xfId="1" applyFont="1" applyFill="1" applyBorder="1" applyAlignment="1">
      <alignment horizontal="justify" vertical="top" wrapText="1"/>
    </xf>
    <xf numFmtId="164" fontId="7" fillId="0" borderId="0" xfId="1" applyNumberFormat="1" applyFont="1" applyFill="1" applyBorder="1" applyAlignment="1">
      <alignment horizontal="center" wrapText="1"/>
    </xf>
    <xf numFmtId="0" fontId="8" fillId="0" borderId="0" xfId="1" applyFont="1" applyFill="1" applyBorder="1" applyAlignment="1">
      <alignment horizontal="justify" vertical="justify" wrapText="1"/>
    </xf>
    <xf numFmtId="1" fontId="3" fillId="0" borderId="0" xfId="0" applyNumberFormat="1" applyFont="1" applyFill="1" applyBorder="1" applyAlignment="1">
      <alignment horizontal="center" vertical="center"/>
    </xf>
    <xf numFmtId="0" fontId="10" fillId="0" borderId="0" xfId="0" applyFont="1" applyFill="1" applyBorder="1" applyAlignment="1">
      <alignment horizontal="center"/>
    </xf>
    <xf numFmtId="164" fontId="7" fillId="0" borderId="0" xfId="0" applyNumberFormat="1" applyFont="1" applyFill="1" applyBorder="1" applyAlignment="1">
      <alignment vertical="justify" wrapText="1"/>
    </xf>
    <xf numFmtId="164" fontId="7" fillId="0" borderId="0" xfId="0" applyNumberFormat="1" applyFont="1" applyFill="1" applyBorder="1" applyAlignment="1">
      <alignment horizontal="center" vertical="justify" wrapText="1"/>
    </xf>
    <xf numFmtId="0" fontId="7" fillId="0" borderId="0" xfId="0" applyFont="1" applyFill="1" applyBorder="1" applyAlignment="1" applyProtection="1">
      <alignment vertical="top"/>
    </xf>
    <xf numFmtId="0" fontId="3" fillId="0" borderId="0" xfId="0" applyFont="1" applyFill="1" applyBorder="1" applyAlignment="1">
      <alignment vertical="top" wrapText="1"/>
    </xf>
    <xf numFmtId="0" fontId="10" fillId="0" borderId="0" xfId="1" applyFont="1" applyFill="1" applyBorder="1" applyAlignment="1">
      <alignment vertical="top" wrapText="1"/>
    </xf>
    <xf numFmtId="2" fontId="19" fillId="0" borderId="0" xfId="0" applyNumberFormat="1" applyFont="1" applyBorder="1" applyAlignment="1">
      <alignment wrapText="1"/>
    </xf>
    <xf numFmtId="2" fontId="18" fillId="0" borderId="0" xfId="0" applyNumberFormat="1" applyFont="1" applyBorder="1" applyAlignment="1">
      <alignment horizontal="center" vertical="top" wrapText="1"/>
    </xf>
    <xf numFmtId="2" fontId="18" fillId="0" borderId="0" xfId="0" applyNumberFormat="1" applyFont="1" applyBorder="1" applyAlignment="1">
      <alignment horizontal="left" vertical="top" wrapText="1"/>
    </xf>
    <xf numFmtId="167" fontId="19" fillId="0" borderId="0" xfId="0" applyNumberFormat="1" applyFont="1" applyBorder="1" applyAlignment="1">
      <alignment horizontal="center" vertical="top"/>
    </xf>
    <xf numFmtId="0" fontId="8" fillId="0" borderId="0" xfId="0" applyFont="1" applyBorder="1" applyAlignment="1">
      <alignment horizontal="center" vertical="center"/>
    </xf>
    <xf numFmtId="1" fontId="18" fillId="0" borderId="0" xfId="0" applyNumberFormat="1" applyFont="1" applyBorder="1" applyAlignment="1">
      <alignment horizontal="center" vertical="top" wrapText="1"/>
    </xf>
    <xf numFmtId="2" fontId="18" fillId="0" borderId="0" xfId="0" applyNumberFormat="1" applyFont="1" applyBorder="1" applyAlignment="1">
      <alignment wrapText="1"/>
    </xf>
    <xf numFmtId="0" fontId="19" fillId="0" borderId="0" xfId="0" applyFont="1" applyBorder="1" applyAlignment="1">
      <alignment horizontal="left"/>
    </xf>
    <xf numFmtId="2" fontId="20" fillId="0" borderId="0" xfId="0" applyNumberFormat="1" applyFont="1" applyBorder="1" applyAlignment="1">
      <alignment horizontal="left" vertical="top" wrapText="1"/>
    </xf>
    <xf numFmtId="2" fontId="22" fillId="0" borderId="0" xfId="0" applyNumberFormat="1" applyFont="1" applyBorder="1" applyAlignment="1">
      <alignment wrapText="1"/>
    </xf>
    <xf numFmtId="1" fontId="20" fillId="0" borderId="0" xfId="0" applyNumberFormat="1" applyFont="1" applyBorder="1" applyAlignment="1">
      <alignment horizontal="center" vertical="top" wrapText="1"/>
    </xf>
    <xf numFmtId="2" fontId="20" fillId="0" borderId="0" xfId="0" applyNumberFormat="1" applyFont="1" applyBorder="1" applyAlignment="1">
      <alignment wrapText="1"/>
    </xf>
    <xf numFmtId="0" fontId="23" fillId="0" borderId="0" xfId="0" applyFont="1" applyBorder="1" applyAlignment="1">
      <alignment horizontal="left"/>
    </xf>
    <xf numFmtId="167" fontId="24" fillId="0" borderId="0" xfId="0" applyNumberFormat="1" applyFont="1" applyBorder="1" applyAlignment="1">
      <alignment horizontal="center" vertical="top"/>
    </xf>
    <xf numFmtId="0" fontId="0" fillId="0" borderId="0" xfId="0" applyBorder="1" applyAlignment="1">
      <alignment horizontal="center" vertical="center"/>
    </xf>
    <xf numFmtId="2" fontId="7" fillId="0" borderId="0" xfId="0" applyNumberFormat="1" applyFont="1" applyBorder="1" applyAlignment="1">
      <alignment horizontal="justify" vertical="top" wrapText="1"/>
    </xf>
    <xf numFmtId="164" fontId="3" fillId="0" borderId="0" xfId="1" applyNumberFormat="1" applyFont="1" applyFill="1" applyBorder="1" applyAlignment="1">
      <alignment vertical="center" wrapText="1"/>
    </xf>
    <xf numFmtId="43" fontId="9" fillId="0" borderId="0" xfId="0" applyNumberFormat="1" applyFont="1" applyBorder="1" applyAlignment="1">
      <alignment vertical="center"/>
    </xf>
    <xf numFmtId="0" fontId="3" fillId="0" borderId="0" xfId="0" applyFont="1" applyFill="1" applyBorder="1" applyAlignment="1">
      <alignment horizontal="center" vertical="center"/>
    </xf>
    <xf numFmtId="2" fontId="7" fillId="0" borderId="0" xfId="0" applyNumberFormat="1" applyFont="1" applyBorder="1" applyAlignment="1">
      <alignment horizontal="left" vertical="top" wrapText="1"/>
    </xf>
    <xf numFmtId="0" fontId="3" fillId="0" borderId="0" xfId="1" applyFont="1" applyFill="1" applyBorder="1" applyAlignment="1">
      <alignment vertical="top" wrapText="1"/>
    </xf>
    <xf numFmtId="0" fontId="7" fillId="0" borderId="0" xfId="0" applyFont="1" applyFill="1" applyBorder="1" applyAlignment="1" applyProtection="1">
      <alignment horizontal="left" vertical="top" wrapText="1"/>
    </xf>
    <xf numFmtId="0" fontId="7" fillId="0" borderId="0" xfId="0" applyFont="1" applyFill="1" applyBorder="1" applyAlignment="1" applyProtection="1">
      <alignment horizontal="left" vertical="top"/>
    </xf>
    <xf numFmtId="164" fontId="3" fillId="0" borderId="0" xfId="1" applyNumberFormat="1" applyFont="1" applyFill="1" applyBorder="1" applyAlignment="1" applyProtection="1">
      <alignment horizontal="center" vertical="center"/>
    </xf>
    <xf numFmtId="0" fontId="7" fillId="0" borderId="0" xfId="1" applyFont="1" applyFill="1" applyBorder="1" applyAlignment="1">
      <alignment horizontal="justify" vertical="top" wrapText="1"/>
    </xf>
    <xf numFmtId="2" fontId="7" fillId="0" borderId="0" xfId="0" applyNumberFormat="1" applyFont="1" applyFill="1" applyBorder="1" applyAlignment="1">
      <alignment horizontal="justify" vertical="justify" wrapText="1" readingOrder="1"/>
    </xf>
    <xf numFmtId="2" fontId="7" fillId="0" borderId="0" xfId="0" applyNumberFormat="1" applyFont="1" applyFill="1" applyBorder="1" applyAlignment="1">
      <alignment horizontal="justify" vertical="top" wrapText="1" readingOrder="1"/>
    </xf>
    <xf numFmtId="0" fontId="10" fillId="0" borderId="0" xfId="1" applyFont="1" applyFill="1" applyBorder="1" applyAlignment="1">
      <alignment horizontal="left" vertical="top" wrapText="1"/>
    </xf>
    <xf numFmtId="0" fontId="7" fillId="0" borderId="0" xfId="1" applyFont="1" applyFill="1" applyBorder="1" applyAlignment="1">
      <alignment horizontal="justify" vertical="justify" wrapText="1"/>
    </xf>
    <xf numFmtId="0" fontId="0" fillId="0" borderId="0" xfId="0" applyBorder="1"/>
    <xf numFmtId="0" fontId="7" fillId="0" borderId="0" xfId="1" applyFont="1" applyFill="1" applyBorder="1" applyAlignment="1">
      <alignment horizontal="left" vertical="top" wrapText="1"/>
    </xf>
    <xf numFmtId="0" fontId="3" fillId="0" borderId="0" xfId="0" applyFont="1" applyFill="1" applyBorder="1" applyAlignment="1">
      <alignment horizontal="center" vertical="top" wrapText="1"/>
    </xf>
    <xf numFmtId="2" fontId="15" fillId="0" borderId="0" xfId="0" applyNumberFormat="1" applyFont="1" applyFill="1" applyBorder="1" applyAlignment="1">
      <alignment horizontal="justify" vertical="justify" wrapText="1" readingOrder="1"/>
    </xf>
    <xf numFmtId="2" fontId="7" fillId="0" borderId="0" xfId="0" applyNumberFormat="1" applyFont="1" applyBorder="1" applyAlignment="1">
      <alignment horizontal="justify" vertical="justify" wrapText="1"/>
    </xf>
    <xf numFmtId="2" fontId="7" fillId="0" borderId="0" xfId="0" applyNumberFormat="1" applyFont="1" applyBorder="1" applyAlignment="1">
      <alignment horizontal="justify" vertical="top" wrapText="1"/>
    </xf>
    <xf numFmtId="1" fontId="3" fillId="0" borderId="0" xfId="1" applyNumberFormat="1" applyFont="1" applyFill="1" applyBorder="1" applyAlignment="1">
      <alignment horizontal="center" vertical="center" wrapText="1"/>
    </xf>
    <xf numFmtId="0" fontId="3" fillId="0" borderId="0" xfId="0" applyFont="1" applyFill="1" applyBorder="1" applyAlignment="1">
      <alignment horizontal="center" vertical="center"/>
    </xf>
    <xf numFmtId="0" fontId="7" fillId="0" borderId="0" xfId="0" applyFont="1" applyFill="1" applyBorder="1" applyAlignment="1">
      <alignment horizontal="left" vertical="top" wrapText="1"/>
    </xf>
    <xf numFmtId="0" fontId="3" fillId="0" borderId="0" xfId="1" applyFont="1" applyFill="1" applyBorder="1" applyAlignment="1">
      <alignment horizontal="center" vertical="center" wrapText="1"/>
    </xf>
    <xf numFmtId="0" fontId="10" fillId="0" borderId="0" xfId="0" applyFont="1" applyBorder="1" applyAlignment="1">
      <alignment horizontal="justify" vertical="top" wrapText="1" readingOrder="1"/>
    </xf>
    <xf numFmtId="0" fontId="3" fillId="0" borderId="0" xfId="0" applyFont="1" applyFill="1" applyBorder="1" applyAlignment="1" applyProtection="1">
      <alignment horizontal="center" vertical="center"/>
    </xf>
    <xf numFmtId="0" fontId="7" fillId="0" borderId="0" xfId="0" applyFont="1" applyFill="1" applyBorder="1" applyAlignment="1">
      <alignment horizontal="justify" vertical="justify" wrapText="1" readingOrder="1"/>
    </xf>
    <xf numFmtId="0" fontId="7" fillId="0" borderId="0" xfId="0" applyNumberFormat="1" applyFont="1" applyFill="1" applyBorder="1" applyAlignment="1">
      <alignment horizontal="justify" vertical="top" wrapText="1" readingOrder="1"/>
    </xf>
    <xf numFmtId="0" fontId="10" fillId="0" borderId="0" xfId="1" applyFont="1" applyFill="1" applyBorder="1" applyAlignment="1" applyProtection="1">
      <alignment horizontal="left" vertical="top"/>
    </xf>
    <xf numFmtId="0" fontId="3" fillId="0" borderId="0" xfId="1" applyFont="1" applyFill="1" applyBorder="1" applyAlignment="1">
      <alignment horizontal="left" vertical="justify" wrapText="1"/>
    </xf>
    <xf numFmtId="0" fontId="16" fillId="0" borderId="0" xfId="1" applyFont="1" applyFill="1" applyBorder="1" applyAlignment="1">
      <alignment horizontal="justify" vertical="top" wrapText="1"/>
    </xf>
    <xf numFmtId="0" fontId="7" fillId="0" borderId="0" xfId="1" applyFont="1" applyFill="1" applyBorder="1" applyAlignment="1" applyProtection="1">
      <alignment horizontal="left" vertical="top" wrapText="1"/>
    </xf>
    <xf numFmtId="1" fontId="12" fillId="0" borderId="0" xfId="1" applyNumberFormat="1" applyFont="1" applyFill="1" applyBorder="1" applyAlignment="1">
      <alignment horizontal="center" vertical="center"/>
    </xf>
    <xf numFmtId="0" fontId="10" fillId="0" borderId="0" xfId="1" applyFont="1" applyFill="1" applyBorder="1" applyAlignment="1" applyProtection="1">
      <alignment horizontal="justify" vertical="top" wrapText="1"/>
    </xf>
    <xf numFmtId="0" fontId="10" fillId="0" borderId="0" xfId="1" applyFont="1" applyFill="1" applyBorder="1" applyAlignment="1" applyProtection="1">
      <alignment horizontal="justify" vertical="top"/>
    </xf>
    <xf numFmtId="0" fontId="10" fillId="0" borderId="0" xfId="0" applyFont="1" applyFill="1" applyBorder="1" applyAlignment="1">
      <alignment horizontal="justify" vertical="justify" wrapText="1" readingOrder="1"/>
    </xf>
    <xf numFmtId="0" fontId="3" fillId="0" borderId="0" xfId="0" applyFont="1" applyFill="1" applyBorder="1" applyAlignment="1" applyProtection="1">
      <alignment horizontal="left" vertical="top" wrapText="1"/>
    </xf>
    <xf numFmtId="0" fontId="8" fillId="0" borderId="0" xfId="0" applyFont="1" applyBorder="1" applyAlignment="1">
      <alignment horizontal="center" vertical="center"/>
    </xf>
    <xf numFmtId="0" fontId="7" fillId="0" borderId="0" xfId="0" applyNumberFormat="1" applyFont="1" applyFill="1" applyBorder="1" applyAlignment="1">
      <alignment horizontal="left" vertical="top" wrapText="1"/>
    </xf>
    <xf numFmtId="0" fontId="7" fillId="0" borderId="0" xfId="0" applyFont="1" applyFill="1" applyBorder="1" applyAlignment="1" applyProtection="1">
      <alignment horizontal="left" vertical="center"/>
    </xf>
    <xf numFmtId="2" fontId="7" fillId="0" borderId="0" xfId="0" applyNumberFormat="1" applyFont="1" applyFill="1" applyBorder="1" applyAlignment="1">
      <alignment horizontal="justify" vertical="center" wrapText="1"/>
    </xf>
    <xf numFmtId="0" fontId="7" fillId="0" borderId="0" xfId="0" applyFont="1" applyFill="1" applyBorder="1" applyAlignment="1" applyProtection="1">
      <alignment vertical="top"/>
    </xf>
  </cellXfs>
  <cellStyles count="8">
    <cellStyle name="Comma 2" xfId="7"/>
    <cellStyle name="Comma 4 2 2 2 2" xfId="2"/>
    <cellStyle name="Normal" xfId="0" builtinId="0"/>
    <cellStyle name="Normal 2" xfId="4"/>
    <cellStyle name="Normal 3" xfId="1"/>
    <cellStyle name="Normal 4" xfId="6"/>
    <cellStyle name="Normal 5" xfId="3"/>
    <cellStyle name="Normal 6"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T277"/>
  <sheetViews>
    <sheetView tabSelected="1" view="pageBreakPreview" topLeftCell="A273" zoomScale="25" zoomScaleNormal="25" zoomScaleSheetLayoutView="25" workbookViewId="0">
      <selection activeCell="AT48" sqref="AT48:BC53"/>
    </sheetView>
  </sheetViews>
  <sheetFormatPr defaultColWidth="8.88671875" defaultRowHeight="14.4"/>
  <cols>
    <col min="1" max="1" width="16.21875" style="5" customWidth="1"/>
    <col min="2" max="2" width="61.5546875" style="59" customWidth="1"/>
    <col min="3" max="3" width="25.6640625" style="59" customWidth="1"/>
    <col min="4" max="4" width="21.5546875" style="134" customWidth="1"/>
    <col min="5" max="5" width="35.6640625" style="5" customWidth="1"/>
    <col min="6" max="6" width="34.6640625" style="5" customWidth="1"/>
    <col min="7" max="7" width="43.109375" style="5" customWidth="1"/>
    <col min="8" max="8" width="47.21875" style="59" customWidth="1"/>
    <col min="9" max="9" width="56.109375" style="5" customWidth="1"/>
    <col min="10" max="10" width="65" style="5" customWidth="1"/>
    <col min="11" max="11" width="75.5546875" style="5" customWidth="1"/>
    <col min="12" max="12" width="53.77734375" style="5" customWidth="1"/>
    <col min="13" max="16384" width="8.88671875" style="5"/>
  </cols>
  <sheetData>
    <row r="1" spans="1:20" s="6" customFormat="1" ht="79.95" customHeight="1">
      <c r="A1" s="167" t="s">
        <v>129</v>
      </c>
      <c r="B1" s="167"/>
      <c r="C1" s="167"/>
      <c r="D1" s="167"/>
      <c r="E1" s="167"/>
      <c r="F1" s="167"/>
      <c r="G1" s="167"/>
      <c r="H1" s="167"/>
      <c r="I1" s="167"/>
      <c r="J1" s="167"/>
      <c r="K1" s="167"/>
    </row>
    <row r="2" spans="1:20" ht="166.2" customHeight="1">
      <c r="A2" s="7" t="s">
        <v>0</v>
      </c>
      <c r="B2" s="7" t="s">
        <v>1</v>
      </c>
      <c r="C2" s="8" t="s">
        <v>2</v>
      </c>
      <c r="D2" s="8" t="s">
        <v>3</v>
      </c>
      <c r="E2" s="143" t="s">
        <v>4</v>
      </c>
      <c r="F2" s="143"/>
      <c r="G2" s="143"/>
      <c r="H2" s="9" t="s">
        <v>5</v>
      </c>
      <c r="I2" s="9" t="s">
        <v>130</v>
      </c>
      <c r="J2" s="10" t="s">
        <v>131</v>
      </c>
      <c r="K2" s="9" t="s">
        <v>132</v>
      </c>
    </row>
    <row r="3" spans="1:20" ht="77.400000000000006" customHeight="1">
      <c r="A3" s="7"/>
      <c r="B3" s="7"/>
      <c r="C3" s="8"/>
      <c r="D3" s="8"/>
      <c r="E3" s="11" t="s">
        <v>6</v>
      </c>
      <c r="F3" s="11" t="s">
        <v>7</v>
      </c>
      <c r="G3" s="11" t="s">
        <v>8</v>
      </c>
      <c r="H3" s="9"/>
    </row>
    <row r="4" spans="1:20" ht="258" customHeight="1">
      <c r="A4" s="7">
        <v>1</v>
      </c>
      <c r="B4" s="150" t="s">
        <v>124</v>
      </c>
      <c r="C4" s="150"/>
      <c r="D4" s="150"/>
      <c r="E4" s="150"/>
      <c r="F4" s="150"/>
      <c r="G4" s="150"/>
      <c r="H4" s="150"/>
    </row>
    <row r="5" spans="1:20" ht="77.400000000000006" customHeight="1">
      <c r="A5" s="7"/>
      <c r="B5" s="12" t="s">
        <v>125</v>
      </c>
      <c r="C5" s="12"/>
      <c r="D5" s="7"/>
      <c r="E5" s="12"/>
      <c r="F5" s="12"/>
      <c r="G5" s="12"/>
      <c r="H5" s="12"/>
    </row>
    <row r="6" spans="1:20" ht="77.400000000000006" customHeight="1">
      <c r="A6" s="7"/>
      <c r="B6" s="12"/>
      <c r="C6" s="12"/>
      <c r="D6" s="7">
        <v>1</v>
      </c>
      <c r="E6" s="13">
        <f>20/3.28</f>
        <v>6.0975609756097562</v>
      </c>
      <c r="F6" s="12">
        <v>0.9</v>
      </c>
      <c r="G6" s="12">
        <v>0.15</v>
      </c>
      <c r="H6" s="13">
        <f>PRODUCT(D6:G6)</f>
        <v>0.82317073170731714</v>
      </c>
    </row>
    <row r="7" spans="1:20" ht="77.400000000000006" customHeight="1">
      <c r="A7" s="7"/>
      <c r="B7" s="14" t="s">
        <v>17</v>
      </c>
      <c r="C7" s="7" t="s">
        <v>13</v>
      </c>
      <c r="D7" s="8"/>
      <c r="E7" s="15"/>
      <c r="F7" s="15"/>
      <c r="G7" s="15"/>
      <c r="H7" s="16">
        <f>SUM(H4:H6)</f>
        <v>0.82317073170731714</v>
      </c>
    </row>
    <row r="8" spans="1:20" ht="69" customHeight="1">
      <c r="A8" s="7"/>
      <c r="B8" s="12"/>
      <c r="C8" s="12"/>
      <c r="D8" s="7"/>
      <c r="E8" s="12"/>
      <c r="F8" s="12"/>
      <c r="G8" s="12"/>
      <c r="H8" s="12"/>
      <c r="T8" s="17"/>
    </row>
    <row r="9" spans="1:20" ht="409.6" hidden="1" customHeight="1">
      <c r="A9" s="7">
        <v>1</v>
      </c>
      <c r="B9" s="148" t="s">
        <v>20</v>
      </c>
      <c r="C9" s="149"/>
      <c r="D9" s="149"/>
      <c r="E9" s="149"/>
      <c r="F9" s="149"/>
      <c r="G9" s="149"/>
      <c r="H9" s="149"/>
    </row>
    <row r="10" spans="1:20" ht="409.6" customHeight="1">
      <c r="A10" s="158">
        <f>A4+1</f>
        <v>2</v>
      </c>
      <c r="B10" s="149"/>
      <c r="C10" s="149"/>
      <c r="D10" s="149"/>
      <c r="E10" s="149"/>
      <c r="F10" s="149"/>
      <c r="G10" s="149"/>
      <c r="H10" s="149"/>
    </row>
    <row r="11" spans="1:20" ht="346.8" customHeight="1">
      <c r="A11" s="158"/>
      <c r="B11" s="149"/>
      <c r="C11" s="149"/>
      <c r="D11" s="149"/>
      <c r="E11" s="149"/>
      <c r="F11" s="149"/>
      <c r="G11" s="149"/>
      <c r="H11" s="149"/>
    </row>
    <row r="12" spans="1:20" ht="69.599999999999994" customHeight="1">
      <c r="A12" s="7"/>
      <c r="B12" s="18" t="s">
        <v>15</v>
      </c>
      <c r="C12" s="19"/>
      <c r="D12" s="20"/>
      <c r="E12" s="21"/>
      <c r="F12" s="21"/>
      <c r="G12" s="21"/>
      <c r="H12" s="22"/>
    </row>
    <row r="13" spans="1:20" ht="70.95" customHeight="1">
      <c r="A13" s="23" t="s">
        <v>108</v>
      </c>
      <c r="B13" s="14" t="s">
        <v>16</v>
      </c>
      <c r="C13" s="7"/>
      <c r="D13" s="24"/>
      <c r="E13" s="25"/>
      <c r="F13" s="25"/>
      <c r="G13" s="25"/>
      <c r="H13" s="26">
        <f t="shared" ref="H13" si="0">PRODUCT(D13:G13)</f>
        <v>0</v>
      </c>
    </row>
    <row r="14" spans="1:20" ht="59.4">
      <c r="A14" s="7"/>
      <c r="B14" s="27"/>
      <c r="C14" s="24"/>
      <c r="D14" s="28">
        <v>7</v>
      </c>
      <c r="E14" s="29">
        <v>0.23</v>
      </c>
      <c r="F14" s="29">
        <v>0.45</v>
      </c>
      <c r="G14" s="26">
        <f>10.5/3.28</f>
        <v>3.2012195121951224</v>
      </c>
      <c r="H14" s="26">
        <f>PRODUCT(D14:G14)</f>
        <v>2.3192835365853663</v>
      </c>
    </row>
    <row r="15" spans="1:20" ht="59.4">
      <c r="A15" s="7"/>
      <c r="B15" s="27"/>
      <c r="C15" s="24"/>
      <c r="D15" s="28">
        <v>6</v>
      </c>
      <c r="E15" s="29">
        <v>0.23</v>
      </c>
      <c r="F15" s="29">
        <v>0.6</v>
      </c>
      <c r="G15" s="26">
        <f>10.5/3.28</f>
        <v>3.2012195121951224</v>
      </c>
      <c r="H15" s="26">
        <f>PRODUCT(D15:G15)</f>
        <v>2.6506097560975617</v>
      </c>
    </row>
    <row r="16" spans="1:20" ht="67.2" customHeight="1">
      <c r="A16" s="7"/>
      <c r="B16" s="14" t="s">
        <v>17</v>
      </c>
      <c r="C16" s="7" t="s">
        <v>13</v>
      </c>
      <c r="D16" s="8"/>
      <c r="E16" s="15"/>
      <c r="F16" s="15"/>
      <c r="G16" s="15"/>
      <c r="H16" s="16">
        <f>SUM(H13:H15)</f>
        <v>4.9698932926829276</v>
      </c>
    </row>
    <row r="17" spans="1:8" ht="50.4" customHeight="1">
      <c r="A17" s="7"/>
      <c r="B17" s="30"/>
      <c r="C17" s="31"/>
      <c r="D17" s="7"/>
      <c r="E17" s="32"/>
      <c r="F17" s="32"/>
      <c r="G17" s="32"/>
      <c r="H17" s="16"/>
    </row>
    <row r="18" spans="1:8" ht="59.4">
      <c r="A18" s="7" t="s">
        <v>7</v>
      </c>
      <c r="B18" s="14" t="s">
        <v>37</v>
      </c>
      <c r="C18" s="31"/>
      <c r="D18" s="7"/>
      <c r="E18" s="32"/>
      <c r="F18" s="32"/>
      <c r="G18" s="32"/>
      <c r="H18" s="16"/>
    </row>
    <row r="19" spans="1:8" ht="59.4">
      <c r="A19" s="7"/>
      <c r="B19" s="33" t="s">
        <v>39</v>
      </c>
      <c r="C19" s="24"/>
      <c r="D19" s="28">
        <v>2</v>
      </c>
      <c r="E19" s="29">
        <v>13.786</v>
      </c>
      <c r="F19" s="29">
        <v>0.23</v>
      </c>
      <c r="G19" s="34">
        <v>0.15</v>
      </c>
      <c r="H19" s="26">
        <f t="shared" ref="H19:H24" si="1">PRODUCT(C19:G19)</f>
        <v>0.95123400000000002</v>
      </c>
    </row>
    <row r="20" spans="1:8" ht="59.4">
      <c r="A20" s="7"/>
      <c r="B20" s="33"/>
      <c r="C20" s="24"/>
      <c r="D20" s="28">
        <v>2</v>
      </c>
      <c r="E20" s="29">
        <v>14.17</v>
      </c>
      <c r="F20" s="29">
        <v>0.23</v>
      </c>
      <c r="G20" s="34">
        <v>0.15</v>
      </c>
      <c r="H20" s="26">
        <f t="shared" si="1"/>
        <v>0.97772999999999999</v>
      </c>
    </row>
    <row r="21" spans="1:8" ht="59.4">
      <c r="A21" s="7"/>
      <c r="B21" s="33"/>
      <c r="C21" s="24"/>
      <c r="D21" s="28">
        <v>1</v>
      </c>
      <c r="E21" s="29">
        <v>12.8</v>
      </c>
      <c r="F21" s="29">
        <v>0.23</v>
      </c>
      <c r="G21" s="34">
        <v>0.15</v>
      </c>
      <c r="H21" s="26">
        <f t="shared" si="1"/>
        <v>0.44160000000000005</v>
      </c>
    </row>
    <row r="22" spans="1:8" ht="59.4">
      <c r="A22" s="7"/>
      <c r="B22" s="33"/>
      <c r="C22" s="24"/>
      <c r="D22" s="28">
        <v>1</v>
      </c>
      <c r="E22" s="29">
        <v>8.7629999999999999</v>
      </c>
      <c r="F22" s="29">
        <v>0.23</v>
      </c>
      <c r="G22" s="34">
        <v>0.15</v>
      </c>
      <c r="H22" s="26">
        <f t="shared" si="1"/>
        <v>0.30232350000000002</v>
      </c>
    </row>
    <row r="23" spans="1:8" ht="59.4">
      <c r="A23" s="7"/>
      <c r="B23" s="33" t="s">
        <v>84</v>
      </c>
      <c r="C23" s="24"/>
      <c r="D23" s="28">
        <v>2</v>
      </c>
      <c r="E23" s="29">
        <v>1.52</v>
      </c>
      <c r="F23" s="29">
        <v>0.23</v>
      </c>
      <c r="G23" s="34">
        <v>3.2</v>
      </c>
      <c r="H23" s="26">
        <f t="shared" si="1"/>
        <v>2.2374400000000003</v>
      </c>
    </row>
    <row r="24" spans="1:8" ht="59.4">
      <c r="A24" s="7"/>
      <c r="B24" s="33"/>
      <c r="C24" s="24"/>
      <c r="D24" s="28">
        <v>2</v>
      </c>
      <c r="E24" s="29">
        <v>1.57</v>
      </c>
      <c r="F24" s="29">
        <v>0.23</v>
      </c>
      <c r="G24" s="34">
        <v>3.2</v>
      </c>
      <c r="H24" s="26">
        <f t="shared" si="1"/>
        <v>2.3110400000000002</v>
      </c>
    </row>
    <row r="25" spans="1:8" ht="59.4">
      <c r="A25" s="7"/>
      <c r="B25" s="14" t="s">
        <v>24</v>
      </c>
      <c r="C25" s="7" t="s">
        <v>13</v>
      </c>
      <c r="D25" s="8"/>
      <c r="E25" s="15"/>
      <c r="F25" s="15"/>
      <c r="G25" s="15"/>
      <c r="H25" s="16">
        <f>SUM(H19:H24)</f>
        <v>7.2213675000000013</v>
      </c>
    </row>
    <row r="26" spans="1:8" ht="59.4">
      <c r="A26" s="7"/>
      <c r="B26" s="30"/>
      <c r="C26" s="31"/>
      <c r="D26" s="7"/>
      <c r="E26" s="32"/>
      <c r="F26" s="32"/>
      <c r="G26" s="32"/>
      <c r="H26" s="16"/>
    </row>
    <row r="27" spans="1:8" ht="59.4">
      <c r="A27" s="7" t="s">
        <v>109</v>
      </c>
      <c r="B27" s="14" t="s">
        <v>34</v>
      </c>
      <c r="C27" s="31"/>
      <c r="D27" s="7"/>
      <c r="E27" s="32"/>
      <c r="F27" s="32"/>
      <c r="G27" s="32"/>
      <c r="H27" s="16"/>
    </row>
    <row r="28" spans="1:8" ht="59.4">
      <c r="A28" s="7"/>
      <c r="B28" s="33" t="s">
        <v>35</v>
      </c>
      <c r="C28" s="24"/>
      <c r="D28" s="28">
        <v>5</v>
      </c>
      <c r="E28" s="29">
        <f>2+0.5+0.5</f>
        <v>3</v>
      </c>
      <c r="F28" s="29">
        <v>0.45</v>
      </c>
      <c r="G28" s="34">
        <v>0.1</v>
      </c>
      <c r="H28" s="26">
        <f>PRODUCT(C28:G28)</f>
        <v>0.67500000000000004</v>
      </c>
    </row>
    <row r="29" spans="1:8" ht="59.4">
      <c r="A29" s="7"/>
      <c r="B29" s="33" t="s">
        <v>36</v>
      </c>
      <c r="C29" s="24"/>
      <c r="D29" s="28">
        <v>4</v>
      </c>
      <c r="E29" s="29">
        <f>1.37+0.5+0.5</f>
        <v>2.37</v>
      </c>
      <c r="F29" s="29">
        <v>0.45</v>
      </c>
      <c r="G29" s="34">
        <v>0.1</v>
      </c>
      <c r="H29" s="26">
        <f>PRODUCT(C29:G29)</f>
        <v>0.42660000000000003</v>
      </c>
    </row>
    <row r="30" spans="1:8" ht="59.4">
      <c r="A30" s="7"/>
      <c r="B30" s="14" t="s">
        <v>24</v>
      </c>
      <c r="C30" s="7" t="s">
        <v>13</v>
      </c>
      <c r="D30" s="8"/>
      <c r="E30" s="15"/>
      <c r="F30" s="15"/>
      <c r="G30" s="15"/>
      <c r="H30" s="16">
        <f>SUM(H28:H29)</f>
        <v>1.1016000000000001</v>
      </c>
    </row>
    <row r="31" spans="1:8" ht="59.4">
      <c r="A31" s="7"/>
      <c r="B31" s="30"/>
      <c r="C31" s="31"/>
      <c r="D31" s="7"/>
      <c r="E31" s="32"/>
      <c r="F31" s="32"/>
      <c r="G31" s="32"/>
      <c r="H31" s="16"/>
    </row>
    <row r="32" spans="1:8" ht="59.4">
      <c r="A32" s="7" t="s">
        <v>8</v>
      </c>
      <c r="B32" s="14" t="s">
        <v>32</v>
      </c>
      <c r="C32" s="31"/>
      <c r="D32" s="7"/>
      <c r="E32" s="32"/>
      <c r="F32" s="32"/>
      <c r="G32" s="32"/>
      <c r="H32" s="16"/>
    </row>
    <row r="33" spans="1:8" ht="59.4">
      <c r="A33" s="7"/>
      <c r="B33" s="33" t="s">
        <v>22</v>
      </c>
      <c r="C33" s="24"/>
      <c r="D33" s="28">
        <v>4</v>
      </c>
      <c r="E33" s="29">
        <v>5.2590000000000003</v>
      </c>
      <c r="F33" s="29">
        <v>0.23</v>
      </c>
      <c r="G33" s="34">
        <v>0.45</v>
      </c>
      <c r="H33" s="26">
        <f t="shared" ref="H33:H38" si="2">PRODUCT(C33:G33)</f>
        <v>2.1772260000000001</v>
      </c>
    </row>
    <row r="34" spans="1:8" ht="59.4">
      <c r="A34" s="7"/>
      <c r="B34" s="33"/>
      <c r="C34" s="24"/>
      <c r="D34" s="28">
        <v>4</v>
      </c>
      <c r="E34" s="29">
        <v>3.65</v>
      </c>
      <c r="F34" s="29">
        <v>0.23</v>
      </c>
      <c r="G34" s="34">
        <v>0.45</v>
      </c>
      <c r="H34" s="26">
        <f t="shared" si="2"/>
        <v>1.5111000000000001</v>
      </c>
    </row>
    <row r="35" spans="1:8" ht="59.4">
      <c r="A35" s="7"/>
      <c r="B35" s="33"/>
      <c r="C35" s="24"/>
      <c r="D35" s="28">
        <v>4</v>
      </c>
      <c r="E35" s="29">
        <v>4.1150000000000002</v>
      </c>
      <c r="F35" s="29">
        <v>0.23</v>
      </c>
      <c r="G35" s="34">
        <v>0.45</v>
      </c>
      <c r="H35" s="26">
        <f t="shared" si="2"/>
        <v>1.7036100000000003</v>
      </c>
    </row>
    <row r="36" spans="1:8" ht="61.2">
      <c r="A36" s="7"/>
      <c r="B36" s="33" t="s">
        <v>23</v>
      </c>
      <c r="C36" s="35"/>
      <c r="D36" s="28">
        <v>3</v>
      </c>
      <c r="E36" s="29">
        <v>5.2590000000000003</v>
      </c>
      <c r="F36" s="29">
        <v>0.23</v>
      </c>
      <c r="G36" s="34">
        <v>0.45</v>
      </c>
      <c r="H36" s="26">
        <f t="shared" si="2"/>
        <v>1.6329195000000001</v>
      </c>
    </row>
    <row r="37" spans="1:8" ht="59.4">
      <c r="A37" s="7"/>
      <c r="B37" s="33"/>
      <c r="C37" s="24"/>
      <c r="D37" s="28">
        <v>4</v>
      </c>
      <c r="E37" s="29">
        <v>4.1150000000000002</v>
      </c>
      <c r="F37" s="29">
        <v>0.23</v>
      </c>
      <c r="G37" s="34">
        <v>0.45</v>
      </c>
      <c r="H37" s="26">
        <f t="shared" si="2"/>
        <v>1.7036100000000003</v>
      </c>
    </row>
    <row r="38" spans="1:8" ht="59.4">
      <c r="A38" s="7"/>
      <c r="B38" s="33"/>
      <c r="C38" s="24"/>
      <c r="D38" s="28">
        <v>4</v>
      </c>
      <c r="E38" s="29">
        <v>5.2569999999999997</v>
      </c>
      <c r="F38" s="29">
        <v>0.23</v>
      </c>
      <c r="G38" s="34">
        <v>0.45</v>
      </c>
      <c r="H38" s="26">
        <f t="shared" si="2"/>
        <v>2.1763979999999998</v>
      </c>
    </row>
    <row r="39" spans="1:8" ht="59.4">
      <c r="A39" s="7"/>
      <c r="B39" s="14" t="s">
        <v>24</v>
      </c>
      <c r="C39" s="7" t="s">
        <v>13</v>
      </c>
      <c r="D39" s="8"/>
      <c r="E39" s="15"/>
      <c r="F39" s="15"/>
      <c r="G39" s="15"/>
      <c r="H39" s="16">
        <f>SUM(H33:H38)</f>
        <v>10.904863500000001</v>
      </c>
    </row>
    <row r="40" spans="1:8" ht="59.4">
      <c r="A40" s="7"/>
      <c r="B40" s="30"/>
      <c r="C40" s="31"/>
      <c r="D40" s="7"/>
      <c r="E40" s="32"/>
      <c r="F40" s="32"/>
      <c r="G40" s="32"/>
      <c r="H40" s="16"/>
    </row>
    <row r="41" spans="1:8" ht="59.4">
      <c r="A41" s="7" t="s">
        <v>110</v>
      </c>
      <c r="B41" s="14" t="s">
        <v>25</v>
      </c>
      <c r="C41" s="24"/>
      <c r="D41" s="28">
        <v>1</v>
      </c>
      <c r="E41" s="29">
        <v>12.8</v>
      </c>
      <c r="F41" s="29">
        <v>13.78</v>
      </c>
      <c r="G41" s="34">
        <v>0.15</v>
      </c>
      <c r="H41" s="26">
        <f>PRODUCT(C41:G41)</f>
        <v>26.457600000000003</v>
      </c>
    </row>
    <row r="42" spans="1:8" ht="59.4">
      <c r="A42" s="7"/>
      <c r="B42" s="33" t="s">
        <v>33</v>
      </c>
      <c r="C42" s="24"/>
      <c r="D42" s="28">
        <v>1</v>
      </c>
      <c r="E42" s="29">
        <v>4.57</v>
      </c>
      <c r="F42" s="29">
        <v>4.79</v>
      </c>
      <c r="G42" s="34">
        <v>0.15</v>
      </c>
      <c r="H42" s="26">
        <f>-G42</f>
        <v>-0.15</v>
      </c>
    </row>
    <row r="43" spans="1:8" ht="59.4">
      <c r="A43" s="7"/>
      <c r="B43" s="14" t="s">
        <v>26</v>
      </c>
      <c r="C43" s="7" t="s">
        <v>13</v>
      </c>
      <c r="D43" s="8"/>
      <c r="E43" s="15"/>
      <c r="F43" s="15"/>
      <c r="G43" s="15"/>
      <c r="H43" s="16">
        <f>SUM(H41:H42)</f>
        <v>26.307600000000004</v>
      </c>
    </row>
    <row r="44" spans="1:8" ht="59.4">
      <c r="A44" s="7"/>
      <c r="B44" s="30"/>
      <c r="C44" s="31"/>
      <c r="D44" s="7"/>
      <c r="E44" s="32"/>
      <c r="F44" s="32"/>
      <c r="G44" s="32"/>
      <c r="H44" s="16"/>
    </row>
    <row r="45" spans="1:8" ht="59.4">
      <c r="A45" s="7" t="s">
        <v>111</v>
      </c>
      <c r="B45" s="15" t="s">
        <v>27</v>
      </c>
      <c r="C45" s="15"/>
      <c r="D45" s="36"/>
      <c r="E45" s="37"/>
      <c r="F45" s="37"/>
      <c r="G45" s="37"/>
      <c r="H45" s="29">
        <v>0</v>
      </c>
    </row>
    <row r="46" spans="1:8" ht="59.4">
      <c r="A46" s="7"/>
      <c r="B46" s="38" t="s">
        <v>28</v>
      </c>
      <c r="C46" s="24"/>
      <c r="D46" s="28">
        <v>2</v>
      </c>
      <c r="E46" s="29">
        <v>2.1339999999999999</v>
      </c>
      <c r="F46" s="29">
        <v>1.37</v>
      </c>
      <c r="G46" s="26">
        <v>0.1</v>
      </c>
      <c r="H46" s="26">
        <f>PRODUCT(D46:G46)</f>
        <v>0.58471600000000012</v>
      </c>
    </row>
    <row r="47" spans="1:8" ht="59.4">
      <c r="A47" s="7"/>
      <c r="B47" s="38"/>
      <c r="C47" s="24"/>
      <c r="D47" s="28">
        <v>1</v>
      </c>
      <c r="E47" s="29">
        <v>1.82</v>
      </c>
      <c r="F47" s="29">
        <v>1.37</v>
      </c>
      <c r="G47" s="26">
        <v>0.1</v>
      </c>
      <c r="H47" s="26">
        <f>PRODUCT(D47:G47)</f>
        <v>0.24934000000000003</v>
      </c>
    </row>
    <row r="48" spans="1:8" ht="59.4">
      <c r="A48" s="7"/>
      <c r="B48" s="33" t="s">
        <v>29</v>
      </c>
      <c r="C48" s="24"/>
      <c r="D48" s="28">
        <v>1</v>
      </c>
      <c r="E48" s="29">
        <v>1.37</v>
      </c>
      <c r="F48" s="29">
        <v>1.37</v>
      </c>
      <c r="G48" s="26">
        <v>0.1</v>
      </c>
      <c r="H48" s="26">
        <f>PRODUCT(D48:G48)</f>
        <v>0.18769000000000002</v>
      </c>
    </row>
    <row r="49" spans="1:8" ht="59.4">
      <c r="A49" s="7"/>
      <c r="B49" s="166" t="s">
        <v>30</v>
      </c>
      <c r="C49" s="166"/>
      <c r="D49" s="28">
        <v>23</v>
      </c>
      <c r="E49" s="29">
        <v>0.15</v>
      </c>
      <c r="F49" s="29">
        <v>0.3</v>
      </c>
      <c r="G49" s="26">
        <v>0.1</v>
      </c>
      <c r="H49" s="26">
        <f>PRODUCT(C49:G49)</f>
        <v>0.10349999999999999</v>
      </c>
    </row>
    <row r="50" spans="1:8" ht="59.4">
      <c r="A50" s="7"/>
      <c r="B50" s="39" t="s">
        <v>31</v>
      </c>
      <c r="C50" s="40" t="s">
        <v>13</v>
      </c>
      <c r="D50" s="8"/>
      <c r="E50" s="15"/>
      <c r="F50" s="15"/>
      <c r="G50" s="15"/>
      <c r="H50" s="16">
        <f>SUM(H46:H49)</f>
        <v>1.1252460000000002</v>
      </c>
    </row>
    <row r="51" spans="1:8" ht="59.4">
      <c r="A51" s="7"/>
      <c r="B51" s="30"/>
      <c r="C51" s="41"/>
      <c r="D51" s="42"/>
      <c r="E51" s="32"/>
      <c r="F51" s="32"/>
      <c r="G51" s="32"/>
      <c r="H51" s="16"/>
    </row>
    <row r="52" spans="1:8" ht="368.4" customHeight="1">
      <c r="A52" s="7">
        <f>A10+1</f>
        <v>3</v>
      </c>
      <c r="B52" s="144" t="s">
        <v>21</v>
      </c>
      <c r="C52" s="144"/>
      <c r="D52" s="144"/>
      <c r="E52" s="144"/>
      <c r="F52" s="144"/>
      <c r="G52" s="144"/>
      <c r="H52" s="144"/>
    </row>
    <row r="53" spans="1:8" ht="118.8">
      <c r="A53" s="7"/>
      <c r="B53" s="43"/>
      <c r="C53" s="44"/>
      <c r="D53" s="45"/>
      <c r="E53" s="46" t="s">
        <v>47</v>
      </c>
      <c r="F53" s="46" t="s">
        <v>82</v>
      </c>
      <c r="G53" s="47" t="s">
        <v>99</v>
      </c>
      <c r="H53" s="48"/>
    </row>
    <row r="54" spans="1:8" ht="59.4">
      <c r="A54" s="7"/>
      <c r="B54" s="163" t="s">
        <v>83</v>
      </c>
      <c r="C54" s="163"/>
      <c r="D54" s="45">
        <v>1</v>
      </c>
      <c r="E54" s="49">
        <f>F54/10.75</f>
        <v>151.60837209302326</v>
      </c>
      <c r="F54" s="49">
        <v>1629.79</v>
      </c>
      <c r="G54" s="34">
        <f>F54*5</f>
        <v>8148.95</v>
      </c>
      <c r="H54" s="34"/>
    </row>
    <row r="55" spans="1:8" ht="59.4">
      <c r="A55" s="7"/>
      <c r="B55" s="50" t="s">
        <v>9</v>
      </c>
      <c r="C55" s="7" t="s">
        <v>18</v>
      </c>
      <c r="D55" s="7"/>
      <c r="E55" s="37"/>
      <c r="F55" s="37"/>
      <c r="G55" s="37"/>
      <c r="H55" s="37">
        <f>SUM(G54)</f>
        <v>8148.95</v>
      </c>
    </row>
    <row r="56" spans="1:8" ht="59.4">
      <c r="A56" s="7"/>
      <c r="B56" s="50"/>
      <c r="C56" s="7" t="s">
        <v>19</v>
      </c>
      <c r="D56" s="7"/>
      <c r="E56" s="37"/>
      <c r="F56" s="37"/>
      <c r="G56" s="37"/>
      <c r="H56" s="37">
        <f>H55/1000</f>
        <v>8.1489499999999992</v>
      </c>
    </row>
    <row r="57" spans="1:8" ht="59.4">
      <c r="A57" s="7"/>
      <c r="B57" s="30"/>
      <c r="C57" s="41"/>
      <c r="D57" s="42"/>
      <c r="E57" s="32"/>
      <c r="F57" s="32"/>
      <c r="G57" s="32"/>
      <c r="H57" s="16"/>
    </row>
    <row r="58" spans="1:8" ht="310.8" customHeight="1">
      <c r="A58" s="51">
        <f>A52+1</f>
        <v>4</v>
      </c>
      <c r="B58" s="144" t="s">
        <v>62</v>
      </c>
      <c r="C58" s="144"/>
      <c r="D58" s="144"/>
      <c r="E58" s="144"/>
      <c r="F58" s="144"/>
      <c r="G58" s="144"/>
      <c r="H58" s="144"/>
    </row>
    <row r="59" spans="1:8" ht="59.4">
      <c r="A59" s="51"/>
      <c r="B59" s="164" t="s">
        <v>74</v>
      </c>
      <c r="C59" s="164"/>
      <c r="D59" s="52"/>
      <c r="E59" s="53"/>
      <c r="F59" s="53"/>
      <c r="G59" s="53"/>
      <c r="H59" s="53"/>
    </row>
    <row r="60" spans="1:8" ht="59.4">
      <c r="A60" s="54"/>
      <c r="B60" s="55" t="s">
        <v>75</v>
      </c>
      <c r="C60" s="56"/>
      <c r="D60" s="28">
        <v>1</v>
      </c>
      <c r="E60" s="29">
        <v>14.17</v>
      </c>
      <c r="F60" s="57">
        <v>0.23</v>
      </c>
      <c r="G60" s="57">
        <v>3.2</v>
      </c>
      <c r="H60" s="57">
        <f t="shared" ref="H60:H66" si="3">PRODUCT(D60:G60)</f>
        <v>10.429120000000001</v>
      </c>
    </row>
    <row r="61" spans="1:8" ht="59.4">
      <c r="A61" s="54"/>
      <c r="B61" s="33"/>
      <c r="C61" s="24"/>
      <c r="D61" s="28">
        <v>1</v>
      </c>
      <c r="E61" s="29">
        <v>8.7629999999999999</v>
      </c>
      <c r="F61" s="57">
        <v>0.23</v>
      </c>
      <c r="G61" s="57">
        <v>3.2</v>
      </c>
      <c r="H61" s="57">
        <f t="shared" si="3"/>
        <v>6.4495680000000011</v>
      </c>
    </row>
    <row r="62" spans="1:8" ht="59.4">
      <c r="A62" s="54"/>
      <c r="B62" s="33"/>
      <c r="C62" s="24"/>
      <c r="D62" s="28">
        <v>1</v>
      </c>
      <c r="E62" s="29">
        <v>13.78</v>
      </c>
      <c r="F62" s="57">
        <v>0.23</v>
      </c>
      <c r="G62" s="57">
        <v>3.2</v>
      </c>
      <c r="H62" s="57">
        <f t="shared" si="3"/>
        <v>10.14208</v>
      </c>
    </row>
    <row r="63" spans="1:8" ht="59.4">
      <c r="A63" s="54"/>
      <c r="B63" s="33"/>
      <c r="C63" s="24"/>
      <c r="D63" s="28">
        <v>1</v>
      </c>
      <c r="E63" s="29">
        <v>8</v>
      </c>
      <c r="F63" s="57">
        <v>0.23</v>
      </c>
      <c r="G63" s="57">
        <v>3.2</v>
      </c>
      <c r="H63" s="57">
        <f t="shared" si="3"/>
        <v>5.8880000000000008</v>
      </c>
    </row>
    <row r="64" spans="1:8" ht="59.4">
      <c r="A64" s="54"/>
      <c r="B64" s="33"/>
      <c r="C64" s="24"/>
      <c r="D64" s="28">
        <v>1</v>
      </c>
      <c r="E64" s="29">
        <v>4.34</v>
      </c>
      <c r="F64" s="57">
        <v>0.23</v>
      </c>
      <c r="G64" s="57">
        <v>3.2</v>
      </c>
      <c r="H64" s="57">
        <f t="shared" si="3"/>
        <v>3.1942400000000002</v>
      </c>
    </row>
    <row r="65" spans="1:8" ht="59.4">
      <c r="A65" s="54"/>
      <c r="B65" s="58" t="s">
        <v>76</v>
      </c>
      <c r="C65" s="24"/>
      <c r="D65" s="28">
        <v>2</v>
      </c>
      <c r="E65" s="29">
        <v>4.5659999999999998</v>
      </c>
      <c r="F65" s="57">
        <v>0.23</v>
      </c>
      <c r="G65" s="57">
        <v>3.2</v>
      </c>
      <c r="H65" s="57">
        <f t="shared" si="3"/>
        <v>6.7211520000000009</v>
      </c>
    </row>
    <row r="66" spans="1:8" ht="59.4">
      <c r="A66" s="54"/>
      <c r="C66" s="24"/>
      <c r="D66" s="28">
        <v>1</v>
      </c>
      <c r="E66" s="29">
        <v>5.25</v>
      </c>
      <c r="F66" s="57">
        <v>0.23</v>
      </c>
      <c r="G66" s="57">
        <v>3.2</v>
      </c>
      <c r="H66" s="57">
        <f t="shared" si="3"/>
        <v>3.8640000000000003</v>
      </c>
    </row>
    <row r="67" spans="1:8" ht="59.4">
      <c r="A67" s="54"/>
      <c r="B67" s="14" t="s">
        <v>52</v>
      </c>
      <c r="C67" s="24"/>
      <c r="D67" s="28"/>
      <c r="E67" s="29"/>
      <c r="F67" s="57"/>
      <c r="G67" s="57"/>
      <c r="H67" s="57"/>
    </row>
    <row r="68" spans="1:8" ht="59.4">
      <c r="A68" s="54"/>
      <c r="B68" s="33" t="s">
        <v>40</v>
      </c>
      <c r="C68" s="24"/>
      <c r="D68" s="28">
        <v>1</v>
      </c>
      <c r="E68" s="29">
        <v>1.06</v>
      </c>
      <c r="F68" s="57">
        <v>0.23</v>
      </c>
      <c r="G68" s="57">
        <v>2.1</v>
      </c>
      <c r="H68" s="57">
        <f>-PRODUCT(D68:G68)</f>
        <v>-0.5119800000000001</v>
      </c>
    </row>
    <row r="69" spans="1:8" ht="59.4">
      <c r="A69" s="54"/>
      <c r="B69" s="33" t="s">
        <v>77</v>
      </c>
      <c r="C69" s="24"/>
      <c r="D69" s="28">
        <v>5</v>
      </c>
      <c r="E69" s="29">
        <f>6/3.2</f>
        <v>1.875</v>
      </c>
      <c r="F69" s="57">
        <v>0.23</v>
      </c>
      <c r="G69" s="57">
        <v>1.37</v>
      </c>
      <c r="H69" s="57">
        <f>-PRODUCT(D69:G69)</f>
        <v>-2.9540625</v>
      </c>
    </row>
    <row r="70" spans="1:8" ht="59.4">
      <c r="A70" s="54"/>
      <c r="B70" s="33" t="s">
        <v>36</v>
      </c>
      <c r="C70" s="24"/>
      <c r="D70" s="28">
        <v>3</v>
      </c>
      <c r="E70" s="29">
        <v>1.37</v>
      </c>
      <c r="F70" s="57">
        <v>0.23</v>
      </c>
      <c r="G70" s="57">
        <v>1.88</v>
      </c>
      <c r="H70" s="57">
        <f>-PRODUCT(D70:G70)</f>
        <v>-1.7771640000000002</v>
      </c>
    </row>
    <row r="71" spans="1:8" ht="59.4">
      <c r="A71" s="54"/>
      <c r="B71" s="40" t="s">
        <v>9</v>
      </c>
      <c r="C71" s="7" t="s">
        <v>13</v>
      </c>
      <c r="D71" s="8"/>
      <c r="E71" s="15"/>
      <c r="F71" s="15"/>
      <c r="G71" s="15"/>
      <c r="H71" s="16">
        <f>SUM(H60:H70)</f>
        <v>41.444953500000004</v>
      </c>
    </row>
    <row r="72" spans="1:8" ht="59.4">
      <c r="A72" s="54"/>
      <c r="B72" s="60"/>
      <c r="C72" s="31"/>
      <c r="D72" s="7"/>
      <c r="E72" s="32"/>
      <c r="F72" s="32"/>
      <c r="G72" s="32"/>
      <c r="H72" s="16"/>
    </row>
    <row r="73" spans="1:8" ht="59.4">
      <c r="A73" s="54"/>
      <c r="B73" s="60"/>
      <c r="C73" s="31"/>
      <c r="D73" s="7"/>
      <c r="E73" s="32"/>
      <c r="F73" s="32"/>
      <c r="G73" s="32"/>
      <c r="H73" s="16"/>
    </row>
    <row r="74" spans="1:8" ht="409.6" customHeight="1">
      <c r="A74" s="61">
        <f>A58+1</f>
        <v>5</v>
      </c>
      <c r="B74" s="165" t="s">
        <v>89</v>
      </c>
      <c r="C74" s="165"/>
      <c r="D74" s="165"/>
      <c r="E74" s="165"/>
      <c r="F74" s="165"/>
      <c r="G74" s="165"/>
      <c r="H74" s="165"/>
    </row>
    <row r="75" spans="1:8" ht="59.4">
      <c r="A75" s="62"/>
      <c r="B75" s="63" t="s">
        <v>85</v>
      </c>
      <c r="C75" s="64"/>
      <c r="D75" s="65"/>
      <c r="E75" s="66"/>
      <c r="F75" s="67"/>
      <c r="G75" s="66"/>
      <c r="H75" s="48"/>
    </row>
    <row r="76" spans="1:8" ht="59.4">
      <c r="A76" s="68"/>
      <c r="B76" s="69" t="s">
        <v>88</v>
      </c>
      <c r="C76" s="64"/>
      <c r="D76" s="65">
        <v>1</v>
      </c>
      <c r="E76" s="66">
        <f>11.2/3.28</f>
        <v>3.4146341463414633</v>
      </c>
      <c r="F76" s="67">
        <v>0.12</v>
      </c>
      <c r="G76" s="34">
        <v>3.05</v>
      </c>
      <c r="H76" s="29">
        <f t="shared" ref="H76:H78" si="4">PRODUCT(C76:G76)</f>
        <v>1.2497560975609754</v>
      </c>
    </row>
    <row r="77" spans="1:8" ht="59.4">
      <c r="A77" s="62"/>
      <c r="B77" s="63" t="s">
        <v>86</v>
      </c>
      <c r="C77" s="64"/>
      <c r="D77" s="65"/>
      <c r="E77" s="66"/>
      <c r="F77" s="57"/>
      <c r="G77" s="66"/>
      <c r="H77" s="29"/>
    </row>
    <row r="78" spans="1:8" ht="59.4">
      <c r="A78" s="62"/>
      <c r="B78" s="69" t="s">
        <v>87</v>
      </c>
      <c r="C78" s="64"/>
      <c r="D78" s="65">
        <v>-1</v>
      </c>
      <c r="E78" s="66">
        <v>0.76</v>
      </c>
      <c r="F78" s="57">
        <v>0.12</v>
      </c>
      <c r="G78" s="66">
        <v>2.1</v>
      </c>
      <c r="H78" s="29">
        <f t="shared" si="4"/>
        <v>-0.19152000000000002</v>
      </c>
    </row>
    <row r="79" spans="1:8" ht="59.4">
      <c r="A79" s="62"/>
      <c r="B79" s="41" t="s">
        <v>9</v>
      </c>
      <c r="C79" s="64" t="s">
        <v>47</v>
      </c>
      <c r="D79" s="70"/>
      <c r="E79" s="71"/>
      <c r="F79" s="71"/>
      <c r="G79" s="71"/>
      <c r="H79" s="71">
        <f>SUM(H75:H78)</f>
        <v>1.0582360975609753</v>
      </c>
    </row>
    <row r="80" spans="1:8" ht="59.4">
      <c r="A80" s="7"/>
      <c r="B80" s="72"/>
      <c r="C80" s="24"/>
      <c r="D80" s="28"/>
      <c r="E80" s="29"/>
      <c r="F80" s="29"/>
      <c r="G80" s="26"/>
      <c r="H80" s="73"/>
    </row>
    <row r="81" spans="1:8" ht="332.4" customHeight="1">
      <c r="A81" s="74">
        <f>A74+1</f>
        <v>6</v>
      </c>
      <c r="B81" s="162" t="s">
        <v>63</v>
      </c>
      <c r="C81" s="162"/>
      <c r="D81" s="162"/>
      <c r="E81" s="162"/>
      <c r="F81" s="162"/>
      <c r="G81" s="162"/>
      <c r="H81" s="162"/>
    </row>
    <row r="82" spans="1:8" ht="59.4">
      <c r="A82" s="75"/>
      <c r="B82" s="76" t="s">
        <v>41</v>
      </c>
      <c r="C82" s="77"/>
      <c r="D82" s="78"/>
      <c r="E82" s="79"/>
      <c r="F82" s="79"/>
      <c r="G82" s="80"/>
      <c r="H82" s="79">
        <f>F82*E82*D82</f>
        <v>0</v>
      </c>
    </row>
    <row r="83" spans="1:8" ht="59.4">
      <c r="A83" s="75"/>
      <c r="B83" s="33" t="s">
        <v>77</v>
      </c>
      <c r="C83" s="24"/>
      <c r="D83" s="28">
        <v>5</v>
      </c>
      <c r="E83" s="29">
        <v>1.88</v>
      </c>
      <c r="F83" s="57">
        <v>1.37</v>
      </c>
      <c r="G83" s="57"/>
      <c r="H83" s="57">
        <f>PRODUCT(D83:G83)</f>
        <v>12.877999999999998</v>
      </c>
    </row>
    <row r="84" spans="1:8" ht="59.4">
      <c r="A84" s="75"/>
      <c r="B84" s="33" t="s">
        <v>90</v>
      </c>
      <c r="C84" s="24"/>
      <c r="D84" s="28">
        <v>1</v>
      </c>
      <c r="E84" s="29">
        <v>0.6</v>
      </c>
      <c r="F84" s="57">
        <v>0.6</v>
      </c>
      <c r="G84" s="57"/>
      <c r="H84" s="57">
        <f>PRODUCT(D84:G84)</f>
        <v>0.36</v>
      </c>
    </row>
    <row r="85" spans="1:8" ht="59.4">
      <c r="A85" s="75"/>
      <c r="B85" s="33" t="s">
        <v>36</v>
      </c>
      <c r="C85" s="24"/>
      <c r="D85" s="28">
        <v>3</v>
      </c>
      <c r="E85" s="29">
        <v>1.37</v>
      </c>
      <c r="F85" s="57">
        <v>1.88</v>
      </c>
      <c r="G85" s="57"/>
      <c r="H85" s="57">
        <f>PRODUCT(D85:G85)</f>
        <v>7.7267999999999999</v>
      </c>
    </row>
    <row r="86" spans="1:8" ht="59.4">
      <c r="A86" s="75"/>
      <c r="B86" s="81" t="s">
        <v>42</v>
      </c>
      <c r="C86" s="82" t="s">
        <v>14</v>
      </c>
      <c r="D86" s="78"/>
      <c r="E86" s="79"/>
      <c r="F86" s="79"/>
      <c r="G86" s="79"/>
      <c r="H86" s="83">
        <f>SUM(H83:H85)</f>
        <v>20.964799999999997</v>
      </c>
    </row>
    <row r="87" spans="1:8" ht="118.8">
      <c r="A87" s="75"/>
      <c r="B87" s="81"/>
      <c r="C87" s="84"/>
      <c r="D87" s="78"/>
      <c r="E87" s="79" t="s">
        <v>43</v>
      </c>
      <c r="F87" s="85" t="s">
        <v>64</v>
      </c>
      <c r="G87" s="79"/>
      <c r="H87" s="79"/>
    </row>
    <row r="88" spans="1:8" ht="118.8">
      <c r="A88" s="75"/>
      <c r="B88" s="86" t="s">
        <v>44</v>
      </c>
      <c r="C88" s="77" t="s">
        <v>45</v>
      </c>
      <c r="D88" s="78">
        <v>1</v>
      </c>
      <c r="E88" s="79">
        <f>H86:H86</f>
        <v>20.964799999999997</v>
      </c>
      <c r="F88" s="79">
        <v>21</v>
      </c>
      <c r="G88" s="79"/>
      <c r="H88" s="87">
        <f>F88*E88*D88</f>
        <v>440.2607999999999</v>
      </c>
    </row>
    <row r="89" spans="1:8" ht="59.4">
      <c r="A89" s="75"/>
      <c r="B89" s="88"/>
      <c r="C89" s="77"/>
      <c r="D89" s="78"/>
      <c r="E89" s="79"/>
      <c r="F89" s="79"/>
      <c r="G89" s="79"/>
      <c r="H89" s="87"/>
    </row>
    <row r="90" spans="1:8" ht="59.4" customHeight="1">
      <c r="A90" s="160">
        <f>A81+1</f>
        <v>7</v>
      </c>
      <c r="B90" s="159" t="s">
        <v>65</v>
      </c>
      <c r="C90" s="159"/>
      <c r="D90" s="159"/>
      <c r="E90" s="159"/>
      <c r="F90" s="159"/>
      <c r="G90" s="159"/>
      <c r="H90" s="159"/>
    </row>
    <row r="91" spans="1:8" ht="409.6" customHeight="1">
      <c r="A91" s="160"/>
      <c r="B91" s="159"/>
      <c r="C91" s="159"/>
      <c r="D91" s="159"/>
      <c r="E91" s="159"/>
      <c r="F91" s="159"/>
      <c r="G91" s="159"/>
      <c r="H91" s="159"/>
    </row>
    <row r="92" spans="1:8" ht="409.2" customHeight="1">
      <c r="A92" s="160"/>
      <c r="B92" s="159"/>
      <c r="C92" s="159"/>
      <c r="D92" s="159"/>
      <c r="E92" s="159"/>
      <c r="F92" s="159"/>
      <c r="G92" s="159"/>
      <c r="H92" s="159"/>
    </row>
    <row r="93" spans="1:8" ht="59.4">
      <c r="A93" s="75"/>
      <c r="B93" s="89" t="s">
        <v>46</v>
      </c>
      <c r="C93" s="77"/>
      <c r="D93" s="78"/>
      <c r="E93" s="79"/>
      <c r="F93" s="79"/>
      <c r="G93" s="80"/>
      <c r="H93" s="79">
        <f>F93*E93*D93</f>
        <v>0</v>
      </c>
    </row>
    <row r="94" spans="1:8" ht="59.4">
      <c r="A94" s="75"/>
      <c r="B94" s="90" t="s">
        <v>38</v>
      </c>
      <c r="C94" s="7"/>
      <c r="D94" s="91">
        <v>5</v>
      </c>
      <c r="E94" s="29">
        <v>1.88</v>
      </c>
      <c r="F94" s="57"/>
      <c r="G94" s="57">
        <v>1.37</v>
      </c>
      <c r="H94" s="79">
        <f>PRODUCT(C94:G94)</f>
        <v>12.877999999999998</v>
      </c>
    </row>
    <row r="95" spans="1:8" ht="59.4">
      <c r="A95" s="75"/>
      <c r="B95" s="90" t="s">
        <v>91</v>
      </c>
      <c r="C95" s="7"/>
      <c r="D95" s="91">
        <v>1</v>
      </c>
      <c r="E95" s="29">
        <v>0.6</v>
      </c>
      <c r="F95" s="57"/>
      <c r="G95" s="57">
        <v>0.45</v>
      </c>
      <c r="H95" s="79">
        <f>PRODUCT(C95:G95)</f>
        <v>0.27</v>
      </c>
    </row>
    <row r="96" spans="1:8" ht="59.4">
      <c r="A96" s="75"/>
      <c r="B96" s="90" t="s">
        <v>36</v>
      </c>
      <c r="C96" s="7"/>
      <c r="D96" s="91">
        <v>1</v>
      </c>
      <c r="E96" s="29">
        <v>1.88</v>
      </c>
      <c r="F96" s="57"/>
      <c r="G96" s="57">
        <v>1.37</v>
      </c>
      <c r="H96" s="79">
        <f>PRODUCT(C96:G96)</f>
        <v>2.5756000000000001</v>
      </c>
    </row>
    <row r="97" spans="1:8" ht="59.4">
      <c r="A97" s="75"/>
      <c r="B97" s="92" t="s">
        <v>9</v>
      </c>
      <c r="C97" s="75" t="s">
        <v>47</v>
      </c>
      <c r="D97" s="75"/>
      <c r="E97" s="93"/>
      <c r="F97" s="93"/>
      <c r="G97" s="93"/>
      <c r="H97" s="93">
        <f>SUM(H94:H96)</f>
        <v>15.723599999999998</v>
      </c>
    </row>
    <row r="98" spans="1:8" ht="59.4">
      <c r="A98" s="82"/>
      <c r="B98" s="30"/>
      <c r="C98" s="31"/>
      <c r="D98" s="7"/>
      <c r="E98" s="32"/>
      <c r="F98" s="32"/>
      <c r="G98" s="32"/>
      <c r="H98" s="16"/>
    </row>
    <row r="99" spans="1:8" ht="59.4" customHeight="1">
      <c r="A99" s="160">
        <f>A90+1</f>
        <v>8</v>
      </c>
      <c r="B99" s="170" t="s">
        <v>66</v>
      </c>
      <c r="C99" s="170"/>
      <c r="D99" s="170"/>
      <c r="E99" s="170"/>
      <c r="F99" s="170"/>
      <c r="G99" s="170"/>
      <c r="H99" s="170"/>
    </row>
    <row r="100" spans="1:8" ht="59.4" customHeight="1">
      <c r="A100" s="160"/>
      <c r="B100" s="170"/>
      <c r="C100" s="170"/>
      <c r="D100" s="170"/>
      <c r="E100" s="170"/>
      <c r="F100" s="170"/>
      <c r="G100" s="170"/>
      <c r="H100" s="170"/>
    </row>
    <row r="101" spans="1:8" ht="409.6" customHeight="1">
      <c r="A101" s="160"/>
      <c r="B101" s="170"/>
      <c r="C101" s="170"/>
      <c r="D101" s="170"/>
      <c r="E101" s="170"/>
      <c r="F101" s="170"/>
      <c r="G101" s="170"/>
      <c r="H101" s="170"/>
    </row>
    <row r="102" spans="1:8" ht="409.6" customHeight="1">
      <c r="A102" s="160"/>
      <c r="B102" s="170"/>
      <c r="C102" s="170"/>
      <c r="D102" s="170"/>
      <c r="E102" s="170"/>
      <c r="F102" s="170"/>
      <c r="G102" s="170"/>
      <c r="H102" s="170"/>
    </row>
    <row r="103" spans="1:8" ht="59.4">
      <c r="A103" s="82"/>
      <c r="B103" s="89" t="s">
        <v>48</v>
      </c>
      <c r="C103" s="77"/>
      <c r="D103" s="78"/>
      <c r="E103" s="79"/>
      <c r="F103" s="79"/>
      <c r="G103" s="80"/>
      <c r="H103" s="79">
        <f>G103*F103*E103*D103</f>
        <v>0</v>
      </c>
    </row>
    <row r="104" spans="1:8" ht="59.4">
      <c r="A104" s="82"/>
      <c r="B104" s="94" t="s">
        <v>49</v>
      </c>
      <c r="C104" s="77"/>
      <c r="D104" s="77">
        <v>1</v>
      </c>
      <c r="E104" s="95">
        <v>1.37</v>
      </c>
      <c r="F104" s="79"/>
      <c r="G104" s="80">
        <v>2.1</v>
      </c>
      <c r="H104" s="79">
        <f>PRODUCT(D104:G104)</f>
        <v>2.8770000000000002</v>
      </c>
    </row>
    <row r="105" spans="1:8" ht="59.4">
      <c r="A105" s="82"/>
      <c r="B105" s="94" t="s">
        <v>49</v>
      </c>
      <c r="C105" s="77"/>
      <c r="D105" s="77">
        <v>3</v>
      </c>
      <c r="E105" s="95">
        <v>0.75</v>
      </c>
      <c r="F105" s="79"/>
      <c r="G105" s="80">
        <v>2.1</v>
      </c>
      <c r="H105" s="79">
        <f>PRODUCT(D105:G105)</f>
        <v>4.7250000000000005</v>
      </c>
    </row>
    <row r="106" spans="1:8" ht="59.4">
      <c r="A106" s="82"/>
      <c r="B106" s="92" t="s">
        <v>9</v>
      </c>
      <c r="C106" s="75" t="s">
        <v>50</v>
      </c>
      <c r="D106" s="75"/>
      <c r="E106" s="93"/>
      <c r="F106" s="93"/>
      <c r="G106" s="93"/>
      <c r="H106" s="93">
        <f>SUM(H104:H105)</f>
        <v>7.6020000000000003</v>
      </c>
    </row>
    <row r="107" spans="1:8" ht="59.4">
      <c r="A107" s="82"/>
      <c r="B107" s="60" t="s">
        <v>10</v>
      </c>
      <c r="C107" s="31"/>
      <c r="D107" s="7"/>
      <c r="E107" s="32"/>
      <c r="F107" s="32"/>
      <c r="G107" s="32"/>
      <c r="H107" s="16">
        <v>4041</v>
      </c>
    </row>
    <row r="108" spans="1:8" ht="59.4">
      <c r="A108" s="82"/>
      <c r="B108" s="60" t="s">
        <v>11</v>
      </c>
      <c r="C108" s="31"/>
      <c r="D108" s="7"/>
      <c r="E108" s="32"/>
      <c r="F108" s="32"/>
      <c r="G108" s="32"/>
      <c r="H108" s="16">
        <f>H107*5%</f>
        <v>202.05</v>
      </c>
    </row>
    <row r="109" spans="1:8" ht="59.4">
      <c r="A109" s="82"/>
      <c r="B109" s="147" t="s">
        <v>101</v>
      </c>
      <c r="C109" s="147"/>
      <c r="D109" s="147"/>
      <c r="E109" s="147"/>
      <c r="F109" s="32"/>
      <c r="G109" s="32"/>
      <c r="H109" s="16">
        <f>H107*2%</f>
        <v>80.820000000000007</v>
      </c>
    </row>
    <row r="110" spans="1:8" ht="59.4">
      <c r="A110" s="82"/>
      <c r="B110" s="60" t="s">
        <v>12</v>
      </c>
      <c r="C110" s="31"/>
      <c r="D110" s="7"/>
      <c r="E110" s="32"/>
      <c r="F110" s="32"/>
      <c r="G110" s="32"/>
      <c r="H110" s="16">
        <f>SUM(H107:H109)</f>
        <v>4323.87</v>
      </c>
    </row>
    <row r="111" spans="1:8" ht="59.4">
      <c r="A111" s="82"/>
      <c r="B111" s="60"/>
      <c r="C111" s="31"/>
      <c r="D111" s="7"/>
      <c r="E111" s="32"/>
      <c r="F111" s="32"/>
      <c r="G111" s="32"/>
      <c r="H111" s="16"/>
    </row>
    <row r="112" spans="1:8" ht="310.95" customHeight="1">
      <c r="A112" s="82">
        <f>A99+1</f>
        <v>9</v>
      </c>
      <c r="B112" s="144" t="s">
        <v>104</v>
      </c>
      <c r="C112" s="144"/>
      <c r="D112" s="144"/>
      <c r="E112" s="144"/>
      <c r="F112" s="144"/>
      <c r="G112" s="144"/>
      <c r="H112" s="144"/>
    </row>
    <row r="113" spans="1:8" ht="59.4">
      <c r="A113" s="82"/>
      <c r="B113" s="39" t="s">
        <v>103</v>
      </c>
      <c r="C113" s="24"/>
      <c r="D113" s="28"/>
      <c r="E113" s="29"/>
      <c r="F113" s="29"/>
      <c r="G113" s="26"/>
      <c r="H113" s="29">
        <v>0</v>
      </c>
    </row>
    <row r="114" spans="1:8" ht="59.4">
      <c r="A114" s="82"/>
      <c r="B114" s="58" t="s">
        <v>98</v>
      </c>
      <c r="C114" s="24"/>
      <c r="D114" s="28">
        <v>1</v>
      </c>
      <c r="E114" s="29">
        <f>1.37+1.37+2.1+2.1</f>
        <v>6.9399999999999995</v>
      </c>
      <c r="F114" s="29">
        <v>7.4999999999999997E-2</v>
      </c>
      <c r="G114" s="26">
        <v>0.15</v>
      </c>
      <c r="H114" s="29">
        <f>PRODUCT(D114:G114)</f>
        <v>7.8074999999999992E-2</v>
      </c>
    </row>
    <row r="115" spans="1:8" ht="59.4">
      <c r="A115" s="82"/>
      <c r="B115" s="50" t="s">
        <v>9</v>
      </c>
      <c r="C115" s="7" t="s">
        <v>13</v>
      </c>
      <c r="D115" s="36"/>
      <c r="E115" s="37"/>
      <c r="F115" s="37"/>
      <c r="G115" s="37"/>
      <c r="H115" s="37">
        <f>SUM(H114:H114)</f>
        <v>7.8074999999999992E-2</v>
      </c>
    </row>
    <row r="116" spans="1:8" ht="59.4">
      <c r="A116" s="82"/>
      <c r="B116" s="60"/>
      <c r="C116" s="31"/>
      <c r="D116" s="7"/>
      <c r="E116" s="32"/>
      <c r="F116" s="32"/>
      <c r="G116" s="32"/>
      <c r="H116" s="16"/>
    </row>
    <row r="117" spans="1:8" ht="368.4" customHeight="1">
      <c r="A117" s="82">
        <f>A112+1</f>
        <v>10</v>
      </c>
      <c r="B117" s="144" t="s">
        <v>106</v>
      </c>
      <c r="C117" s="144"/>
      <c r="D117" s="144"/>
      <c r="E117" s="144"/>
      <c r="F117" s="144"/>
      <c r="G117" s="144"/>
      <c r="H117" s="144"/>
    </row>
    <row r="118" spans="1:8" ht="59.4">
      <c r="A118" s="82"/>
      <c r="B118" s="39" t="s">
        <v>105</v>
      </c>
      <c r="C118" s="24"/>
      <c r="D118" s="28"/>
      <c r="E118" s="29"/>
      <c r="F118" s="29"/>
      <c r="G118" s="26"/>
      <c r="H118" s="29">
        <v>0</v>
      </c>
    </row>
    <row r="119" spans="1:8" ht="59.4">
      <c r="A119" s="82"/>
      <c r="B119" s="58" t="s">
        <v>98</v>
      </c>
      <c r="C119" s="24"/>
      <c r="D119" s="28">
        <v>1</v>
      </c>
      <c r="E119" s="29">
        <f>1.37+1.37+2.1+2.1</f>
        <v>6.9399999999999995</v>
      </c>
      <c r="F119" s="29">
        <v>7.4999999999999997E-2</v>
      </c>
      <c r="G119" s="26">
        <v>0.15</v>
      </c>
      <c r="H119" s="29">
        <f>PRODUCT(D119:G119)</f>
        <v>7.8074999999999992E-2</v>
      </c>
    </row>
    <row r="120" spans="1:8" ht="59.4">
      <c r="A120" s="82"/>
      <c r="B120" s="50" t="s">
        <v>9</v>
      </c>
      <c r="C120" s="7" t="s">
        <v>13</v>
      </c>
      <c r="D120" s="36"/>
      <c r="E120" s="37"/>
      <c r="F120" s="37"/>
      <c r="G120" s="37"/>
      <c r="H120" s="37">
        <f>SUM(H119:H119)</f>
        <v>7.8074999999999992E-2</v>
      </c>
    </row>
    <row r="121" spans="1:8" ht="59.4">
      <c r="A121" s="82"/>
      <c r="B121" s="30"/>
      <c r="C121" s="31"/>
      <c r="D121" s="7"/>
      <c r="E121" s="32"/>
      <c r="F121" s="32"/>
      <c r="G121" s="32"/>
      <c r="H121" s="16"/>
    </row>
    <row r="122" spans="1:8" ht="59.4" customHeight="1">
      <c r="A122" s="156">
        <f>A117+1</f>
        <v>11</v>
      </c>
      <c r="B122" s="161" t="s">
        <v>67</v>
      </c>
      <c r="C122" s="161"/>
      <c r="D122" s="161"/>
      <c r="E122" s="161"/>
      <c r="F122" s="161"/>
      <c r="G122" s="161"/>
      <c r="H122" s="161"/>
    </row>
    <row r="123" spans="1:8" ht="409.6" customHeight="1">
      <c r="A123" s="156"/>
      <c r="B123" s="161"/>
      <c r="C123" s="161"/>
      <c r="D123" s="161"/>
      <c r="E123" s="161"/>
      <c r="F123" s="161"/>
      <c r="G123" s="161"/>
      <c r="H123" s="161"/>
    </row>
    <row r="124" spans="1:8" ht="178.8" customHeight="1">
      <c r="A124" s="96"/>
      <c r="B124" s="161"/>
      <c r="C124" s="161"/>
      <c r="D124" s="161"/>
      <c r="E124" s="161"/>
      <c r="F124" s="161"/>
      <c r="G124" s="161"/>
      <c r="H124" s="161"/>
    </row>
    <row r="125" spans="1:8" ht="59.4">
      <c r="A125" s="96"/>
      <c r="B125" s="92" t="s">
        <v>78</v>
      </c>
      <c r="C125" s="97"/>
      <c r="D125" s="77"/>
      <c r="E125" s="98"/>
      <c r="F125" s="98"/>
      <c r="G125" s="98"/>
      <c r="H125" s="97"/>
    </row>
    <row r="126" spans="1:8" ht="59.4">
      <c r="A126" s="75"/>
      <c r="B126" s="94" t="s">
        <v>79</v>
      </c>
      <c r="C126" s="77"/>
      <c r="D126" s="78">
        <v>2</v>
      </c>
      <c r="E126" s="79">
        <v>1.06</v>
      </c>
      <c r="F126" s="79">
        <v>1.06</v>
      </c>
      <c r="G126" s="99"/>
      <c r="H126" s="79">
        <f>PRODUCT(D126:G126)</f>
        <v>2.2472000000000003</v>
      </c>
    </row>
    <row r="127" spans="1:8" ht="59.4">
      <c r="A127" s="75"/>
      <c r="B127" s="94" t="s">
        <v>80</v>
      </c>
      <c r="C127" s="77"/>
      <c r="D127" s="78">
        <v>23</v>
      </c>
      <c r="E127" s="79">
        <v>1.37</v>
      </c>
      <c r="F127" s="79">
        <v>0.15</v>
      </c>
      <c r="G127" s="99"/>
      <c r="H127" s="79">
        <f>PRODUCT(D127:G127)</f>
        <v>4.7264999999999997</v>
      </c>
    </row>
    <row r="128" spans="1:8" ht="59.4">
      <c r="A128" s="75"/>
      <c r="B128" s="94"/>
      <c r="C128" s="77"/>
      <c r="D128" s="78">
        <v>22</v>
      </c>
      <c r="E128" s="79">
        <v>1.37</v>
      </c>
      <c r="F128" s="79">
        <v>0.3</v>
      </c>
      <c r="G128" s="99"/>
      <c r="H128" s="79">
        <f>PRODUCT(D128:G128)</f>
        <v>9.0419999999999998</v>
      </c>
    </row>
    <row r="129" spans="1:8" ht="59.4">
      <c r="A129" s="75"/>
      <c r="B129" s="92" t="s">
        <v>9</v>
      </c>
      <c r="C129" s="75" t="s">
        <v>50</v>
      </c>
      <c r="D129" s="75"/>
      <c r="E129" s="93"/>
      <c r="F129" s="93"/>
      <c r="G129" s="93"/>
      <c r="H129" s="93">
        <f>SUM(H126:H128)</f>
        <v>16.015699999999999</v>
      </c>
    </row>
    <row r="130" spans="1:8" ht="59.4">
      <c r="A130" s="75"/>
      <c r="B130" s="30"/>
      <c r="C130" s="31"/>
      <c r="D130" s="7"/>
      <c r="E130" s="32"/>
      <c r="F130" s="32"/>
      <c r="G130" s="32"/>
      <c r="H130" s="16"/>
    </row>
    <row r="131" spans="1:8" ht="375.6" customHeight="1">
      <c r="A131" s="75">
        <f>A122+1</f>
        <v>12</v>
      </c>
      <c r="B131" s="144" t="s">
        <v>68</v>
      </c>
      <c r="C131" s="144"/>
      <c r="D131" s="144"/>
      <c r="E131" s="144"/>
      <c r="F131" s="144"/>
      <c r="G131" s="144"/>
      <c r="H131" s="144"/>
    </row>
    <row r="132" spans="1:8" ht="59.4">
      <c r="A132" s="75"/>
      <c r="B132" s="100" t="s">
        <v>53</v>
      </c>
      <c r="C132" s="24"/>
      <c r="D132" s="28"/>
      <c r="E132" s="29"/>
      <c r="F132" s="29"/>
      <c r="G132" s="34"/>
      <c r="H132" s="29">
        <v>0</v>
      </c>
    </row>
    <row r="133" spans="1:8" ht="59.4">
      <c r="A133" s="75"/>
      <c r="B133" s="33" t="s">
        <v>75</v>
      </c>
      <c r="C133" s="24"/>
      <c r="D133" s="28">
        <v>1</v>
      </c>
      <c r="E133" s="29">
        <v>14.17</v>
      </c>
      <c r="F133" s="29"/>
      <c r="G133" s="34">
        <v>3.2</v>
      </c>
      <c r="H133" s="29">
        <f>PRODUCT(D133:G133)</f>
        <v>45.344000000000001</v>
      </c>
    </row>
    <row r="134" spans="1:8" ht="59.4">
      <c r="A134" s="75"/>
      <c r="B134" s="33"/>
      <c r="C134" s="24"/>
      <c r="D134" s="28">
        <v>1</v>
      </c>
      <c r="E134" s="29">
        <v>8.7629999999999999</v>
      </c>
      <c r="F134" s="29"/>
      <c r="G134" s="34">
        <v>3.2</v>
      </c>
      <c r="H134" s="29">
        <f>PRODUCT(D134:G134)</f>
        <v>28.041600000000003</v>
      </c>
    </row>
    <row r="135" spans="1:8" ht="59.4">
      <c r="A135" s="75"/>
      <c r="B135" s="33"/>
      <c r="C135" s="24"/>
      <c r="D135" s="28">
        <v>1</v>
      </c>
      <c r="E135" s="29">
        <v>13.78</v>
      </c>
      <c r="F135" s="29"/>
      <c r="G135" s="34">
        <v>3.2</v>
      </c>
      <c r="H135" s="29">
        <f>PRODUCT(D135:G135)</f>
        <v>44.096000000000004</v>
      </c>
    </row>
    <row r="136" spans="1:8" ht="59.4">
      <c r="A136" s="75"/>
      <c r="B136" s="33"/>
      <c r="C136" s="24"/>
      <c r="D136" s="28">
        <v>1</v>
      </c>
      <c r="E136" s="29">
        <v>8</v>
      </c>
      <c r="F136" s="29"/>
      <c r="G136" s="34">
        <v>3.2</v>
      </c>
      <c r="H136" s="29">
        <f>PRODUCT(D136:G136)</f>
        <v>25.6</v>
      </c>
    </row>
    <row r="137" spans="1:8" ht="59.4">
      <c r="A137" s="75"/>
      <c r="B137" s="33"/>
      <c r="C137" s="24"/>
      <c r="D137" s="28">
        <v>1</v>
      </c>
      <c r="E137" s="29">
        <v>4.34</v>
      </c>
      <c r="F137" s="29"/>
      <c r="G137" s="34">
        <v>3.2</v>
      </c>
      <c r="H137" s="29">
        <f>PRODUCT(C137:G137)</f>
        <v>13.888</v>
      </c>
    </row>
    <row r="138" spans="1:8" ht="59.4">
      <c r="A138" s="75"/>
      <c r="B138" s="33" t="s">
        <v>76</v>
      </c>
      <c r="C138" s="24"/>
      <c r="D138" s="28">
        <v>2</v>
      </c>
      <c r="E138" s="29">
        <v>4.5659999999999998</v>
      </c>
      <c r="F138" s="29"/>
      <c r="G138" s="34">
        <v>3.2</v>
      </c>
      <c r="H138" s="29">
        <f>PRODUCT(C138:G138)</f>
        <v>29.2224</v>
      </c>
    </row>
    <row r="139" spans="1:8" ht="59.4">
      <c r="A139" s="75"/>
      <c r="C139" s="24"/>
      <c r="D139" s="28">
        <v>1</v>
      </c>
      <c r="E139" s="29">
        <v>5.25</v>
      </c>
      <c r="F139" s="29"/>
      <c r="G139" s="34">
        <v>3.2</v>
      </c>
      <c r="H139" s="29">
        <f>PRODUCT(C139:G139)</f>
        <v>16.8</v>
      </c>
    </row>
    <row r="140" spans="1:8" ht="59.4">
      <c r="A140" s="75"/>
      <c r="B140" s="33" t="s">
        <v>81</v>
      </c>
      <c r="C140" s="24"/>
      <c r="D140" s="28">
        <v>2</v>
      </c>
      <c r="E140" s="29">
        <v>1.79</v>
      </c>
      <c r="F140" s="29"/>
      <c r="G140" s="34">
        <v>3.2</v>
      </c>
      <c r="H140" s="29">
        <f t="shared" ref="H140" si="5">PRODUCT(C140:G140)</f>
        <v>11.456000000000001</v>
      </c>
    </row>
    <row r="141" spans="1:8" ht="59.4">
      <c r="A141" s="75"/>
      <c r="B141" s="81"/>
      <c r="C141" s="101"/>
      <c r="D141" s="78">
        <v>2</v>
      </c>
      <c r="E141" s="79">
        <v>1.52</v>
      </c>
      <c r="F141" s="29"/>
      <c r="G141" s="34">
        <v>3.2</v>
      </c>
      <c r="H141" s="29">
        <f>PRODUCT(C141:G141)</f>
        <v>9.7280000000000015</v>
      </c>
    </row>
    <row r="142" spans="1:8" ht="59.4">
      <c r="A142" s="75"/>
      <c r="B142" s="81" t="s">
        <v>92</v>
      </c>
      <c r="C142" s="101"/>
      <c r="D142" s="78">
        <v>2</v>
      </c>
      <c r="E142" s="79">
        <f>12/3.28</f>
        <v>3.6585365853658538</v>
      </c>
      <c r="F142" s="29"/>
      <c r="G142" s="34">
        <v>3.2</v>
      </c>
      <c r="H142" s="29">
        <f t="shared" ref="H142:H149" si="6">PRODUCT(C142:G142)</f>
        <v>23.414634146341466</v>
      </c>
    </row>
    <row r="143" spans="1:8" ht="59.4">
      <c r="A143" s="75"/>
      <c r="B143" s="81"/>
      <c r="C143" s="101"/>
      <c r="D143" s="78">
        <v>2</v>
      </c>
      <c r="E143" s="79">
        <f>4/3.28</f>
        <v>1.2195121951219512</v>
      </c>
      <c r="F143" s="29"/>
      <c r="G143" s="34">
        <v>3.2</v>
      </c>
      <c r="H143" s="29">
        <f t="shared" si="6"/>
        <v>7.8048780487804876</v>
      </c>
    </row>
    <row r="144" spans="1:8" ht="59.4">
      <c r="A144" s="75"/>
      <c r="B144" s="81" t="s">
        <v>93</v>
      </c>
      <c r="C144" s="101"/>
      <c r="D144" s="78">
        <v>2</v>
      </c>
      <c r="E144" s="79">
        <f>6/3.28</f>
        <v>1.8292682926829269</v>
      </c>
      <c r="F144" s="29"/>
      <c r="G144" s="34">
        <v>3.2</v>
      </c>
      <c r="H144" s="29">
        <f t="shared" si="6"/>
        <v>11.707317073170733</v>
      </c>
    </row>
    <row r="145" spans="1:8" ht="59.4">
      <c r="A145" s="75"/>
      <c r="B145" s="81"/>
      <c r="C145" s="101"/>
      <c r="D145" s="78">
        <v>2</v>
      </c>
      <c r="E145" s="79">
        <f>3.5/3.28</f>
        <v>1.0670731707317074</v>
      </c>
      <c r="F145" s="29"/>
      <c r="G145" s="34">
        <v>3.2</v>
      </c>
      <c r="H145" s="29">
        <f t="shared" si="6"/>
        <v>6.8292682926829276</v>
      </c>
    </row>
    <row r="146" spans="1:8" ht="59.4">
      <c r="A146" s="75"/>
      <c r="B146" s="81" t="s">
        <v>94</v>
      </c>
      <c r="C146" s="101"/>
      <c r="D146" s="78">
        <v>2</v>
      </c>
      <c r="E146" s="79">
        <f>3.5/3.28</f>
        <v>1.0670731707317074</v>
      </c>
      <c r="F146" s="29"/>
      <c r="G146" s="34">
        <v>3.2</v>
      </c>
      <c r="H146" s="29">
        <f t="shared" si="6"/>
        <v>6.8292682926829276</v>
      </c>
    </row>
    <row r="147" spans="1:8" ht="59.4">
      <c r="A147" s="75"/>
      <c r="B147" s="81"/>
      <c r="C147" s="101"/>
      <c r="D147" s="78">
        <v>2</v>
      </c>
      <c r="E147" s="79">
        <f>5.5/3.28</f>
        <v>1.6768292682926831</v>
      </c>
      <c r="F147" s="29"/>
      <c r="G147" s="34">
        <v>3.2</v>
      </c>
      <c r="H147" s="29">
        <f t="shared" si="6"/>
        <v>10.731707317073173</v>
      </c>
    </row>
    <row r="148" spans="1:8" ht="59.4">
      <c r="A148" s="75"/>
      <c r="B148" s="81"/>
      <c r="C148" s="101"/>
      <c r="D148" s="78">
        <v>1</v>
      </c>
      <c r="E148" s="79">
        <f>25.5/3.28</f>
        <v>7.774390243902439</v>
      </c>
      <c r="F148" s="29"/>
      <c r="G148" s="34">
        <v>3.2</v>
      </c>
      <c r="H148" s="29">
        <f t="shared" si="6"/>
        <v>24.878048780487806</v>
      </c>
    </row>
    <row r="149" spans="1:8" ht="59.4">
      <c r="A149" s="75"/>
      <c r="B149" s="81"/>
      <c r="C149" s="101"/>
      <c r="D149" s="78">
        <v>1</v>
      </c>
      <c r="E149" s="79">
        <f>4/3.28</f>
        <v>1.2195121951219512</v>
      </c>
      <c r="F149" s="29"/>
      <c r="G149" s="34">
        <v>3.2</v>
      </c>
      <c r="H149" s="29">
        <f t="shared" si="6"/>
        <v>3.9024390243902438</v>
      </c>
    </row>
    <row r="150" spans="1:8" ht="59.4">
      <c r="A150" s="75"/>
      <c r="B150" s="76" t="s">
        <v>102</v>
      </c>
      <c r="C150" s="101"/>
      <c r="D150" s="78"/>
      <c r="E150" s="79"/>
      <c r="F150" s="29"/>
      <c r="G150" s="34"/>
      <c r="H150" s="79"/>
    </row>
    <row r="151" spans="1:8" ht="59.4">
      <c r="A151" s="75"/>
      <c r="B151" s="81" t="s">
        <v>38</v>
      </c>
      <c r="C151" s="101"/>
      <c r="D151" s="78">
        <v>5</v>
      </c>
      <c r="E151" s="79">
        <v>1.88</v>
      </c>
      <c r="F151" s="29"/>
      <c r="G151" s="34">
        <v>1.37</v>
      </c>
      <c r="H151" s="79">
        <f>-(G151*E151*D151)</f>
        <v>-12.878</v>
      </c>
    </row>
    <row r="152" spans="1:8" ht="59.4">
      <c r="A152" s="75"/>
      <c r="B152" s="81" t="s">
        <v>36</v>
      </c>
      <c r="C152" s="101"/>
      <c r="D152" s="78">
        <v>3</v>
      </c>
      <c r="E152" s="79">
        <v>1.37</v>
      </c>
      <c r="F152" s="29"/>
      <c r="G152" s="34">
        <v>1.88</v>
      </c>
      <c r="H152" s="79">
        <f t="shared" ref="H152" si="7">-(G152*E152*D152)</f>
        <v>-7.7268000000000008</v>
      </c>
    </row>
    <row r="153" spans="1:8" ht="59.4">
      <c r="A153" s="75"/>
      <c r="B153" s="81" t="s">
        <v>91</v>
      </c>
      <c r="C153" s="101"/>
      <c r="D153" s="78">
        <v>1</v>
      </c>
      <c r="E153" s="79">
        <v>0.6</v>
      </c>
      <c r="F153" s="29"/>
      <c r="G153" s="34">
        <v>0.6</v>
      </c>
      <c r="H153" s="79">
        <f>-(G153*E153*D153)</f>
        <v>-0.36</v>
      </c>
    </row>
    <row r="154" spans="1:8" ht="59.4">
      <c r="A154" s="75"/>
      <c r="B154" s="81" t="s">
        <v>8</v>
      </c>
      <c r="C154" s="101"/>
      <c r="D154" s="78">
        <v>1</v>
      </c>
      <c r="E154" s="79">
        <f>4.5/3.28</f>
        <v>1.3719512195121952</v>
      </c>
      <c r="F154" s="29"/>
      <c r="G154" s="34">
        <v>2.1</v>
      </c>
      <c r="H154" s="79">
        <f t="shared" ref="H154:H155" si="8">-(G154*E154*D154)</f>
        <v>-2.88109756097561</v>
      </c>
    </row>
    <row r="155" spans="1:8" ht="59.4">
      <c r="A155" s="75"/>
      <c r="B155" s="81" t="s">
        <v>87</v>
      </c>
      <c r="C155" s="101"/>
      <c r="D155" s="78">
        <v>3</v>
      </c>
      <c r="E155" s="79">
        <v>0.75</v>
      </c>
      <c r="F155" s="29"/>
      <c r="G155" s="34">
        <v>2.1</v>
      </c>
      <c r="H155" s="79">
        <f t="shared" si="8"/>
        <v>-4.7250000000000005</v>
      </c>
    </row>
    <row r="156" spans="1:8" ht="59.4">
      <c r="A156" s="75"/>
      <c r="B156" s="50" t="s">
        <v>9</v>
      </c>
      <c r="C156" s="7" t="s">
        <v>47</v>
      </c>
      <c r="D156" s="7"/>
      <c r="E156" s="37"/>
      <c r="F156" s="37"/>
      <c r="G156" s="37"/>
      <c r="H156" s="9">
        <f>SUM(H132:H155)</f>
        <v>291.70266341463406</v>
      </c>
    </row>
    <row r="157" spans="1:8" ht="59.4">
      <c r="A157" s="75"/>
      <c r="B157" s="30"/>
      <c r="C157" s="31"/>
      <c r="D157" s="7"/>
      <c r="E157" s="32"/>
      <c r="F157" s="32"/>
      <c r="G157" s="32"/>
      <c r="H157" s="16"/>
    </row>
    <row r="158" spans="1:8" ht="366" customHeight="1">
      <c r="A158" s="96">
        <f>A131+1</f>
        <v>13</v>
      </c>
      <c r="B158" s="145" t="s">
        <v>69</v>
      </c>
      <c r="C158" s="145"/>
      <c r="D158" s="145"/>
      <c r="E158" s="145"/>
      <c r="F158" s="145"/>
      <c r="G158" s="145"/>
      <c r="H158" s="145"/>
    </row>
    <row r="159" spans="1:8" ht="56.4" customHeight="1">
      <c r="A159" s="96"/>
      <c r="B159" s="151" t="s">
        <v>54</v>
      </c>
      <c r="C159" s="151"/>
      <c r="D159" s="102"/>
      <c r="E159" s="103"/>
      <c r="F159" s="103"/>
      <c r="G159" s="103"/>
      <c r="H159" s="79"/>
    </row>
    <row r="160" spans="1:8" ht="59.4">
      <c r="A160" s="75"/>
      <c r="B160" s="94" t="s">
        <v>55</v>
      </c>
      <c r="C160" s="77"/>
      <c r="D160" s="78">
        <v>2</v>
      </c>
      <c r="E160" s="79">
        <v>13.786</v>
      </c>
      <c r="F160" s="79"/>
      <c r="G160" s="80">
        <v>3.35</v>
      </c>
      <c r="H160" s="79">
        <f>G160*E160*D160</f>
        <v>92.366200000000006</v>
      </c>
    </row>
    <row r="161" spans="1:8" ht="59.4">
      <c r="A161" s="75"/>
      <c r="B161" s="104" t="s">
        <v>56</v>
      </c>
      <c r="C161" s="77"/>
      <c r="D161" s="78">
        <v>1</v>
      </c>
      <c r="E161" s="79">
        <v>14.17</v>
      </c>
      <c r="F161" s="79"/>
      <c r="G161" s="80">
        <v>3.35</v>
      </c>
      <c r="H161" s="79">
        <f>G161*E161*D161</f>
        <v>47.469500000000004</v>
      </c>
    </row>
    <row r="162" spans="1:8" ht="59.4">
      <c r="A162" s="75"/>
      <c r="B162" s="104"/>
      <c r="C162" s="77"/>
      <c r="D162" s="78">
        <v>1</v>
      </c>
      <c r="E162" s="79">
        <v>12.8</v>
      </c>
      <c r="F162" s="79"/>
      <c r="G162" s="80">
        <v>3.35</v>
      </c>
      <c r="H162" s="79">
        <f>G162*E162*D162</f>
        <v>42.88</v>
      </c>
    </row>
    <row r="163" spans="1:8" ht="59.4">
      <c r="A163" s="75"/>
      <c r="B163" s="58" t="s">
        <v>81</v>
      </c>
      <c r="C163" s="24"/>
      <c r="D163" s="28">
        <v>2</v>
      </c>
      <c r="E163" s="29">
        <v>1.79</v>
      </c>
      <c r="F163" s="29"/>
      <c r="G163" s="34">
        <v>3.35</v>
      </c>
      <c r="H163" s="79">
        <f t="shared" ref="H163" si="9">G163*E163*D163</f>
        <v>11.993</v>
      </c>
    </row>
    <row r="164" spans="1:8" ht="59.4">
      <c r="A164" s="75"/>
      <c r="B164" s="81"/>
      <c r="C164" s="101"/>
      <c r="D164" s="78">
        <v>2</v>
      </c>
      <c r="E164" s="79">
        <v>1.52</v>
      </c>
      <c r="F164" s="29"/>
      <c r="G164" s="34">
        <v>3.35</v>
      </c>
      <c r="H164" s="79">
        <f>G164*E164*D164</f>
        <v>10.184000000000001</v>
      </c>
    </row>
    <row r="165" spans="1:8" ht="59.4">
      <c r="A165" s="75"/>
      <c r="B165" s="76" t="s">
        <v>102</v>
      </c>
      <c r="C165" s="101"/>
      <c r="D165" s="78"/>
      <c r="E165" s="79"/>
      <c r="F165" s="29"/>
      <c r="G165" s="34"/>
      <c r="H165" s="79"/>
    </row>
    <row r="166" spans="1:8" ht="59.4">
      <c r="A166" s="75"/>
      <c r="B166" s="81" t="s">
        <v>38</v>
      </c>
      <c r="C166" s="101"/>
      <c r="D166" s="78">
        <v>5</v>
      </c>
      <c r="E166" s="79">
        <v>1.88</v>
      </c>
      <c r="F166" s="29"/>
      <c r="G166" s="34">
        <v>1.37</v>
      </c>
      <c r="H166" s="79">
        <f>-(G166*E166*D166)</f>
        <v>-12.878</v>
      </c>
    </row>
    <row r="167" spans="1:8" ht="59.4">
      <c r="A167" s="75"/>
      <c r="B167" s="81" t="s">
        <v>36</v>
      </c>
      <c r="C167" s="101"/>
      <c r="D167" s="78">
        <v>3</v>
      </c>
      <c r="E167" s="79">
        <v>1.37</v>
      </c>
      <c r="F167" s="29"/>
      <c r="G167" s="34">
        <v>1.88</v>
      </c>
      <c r="H167" s="79">
        <f t="shared" ref="H167" si="10">-(G167*E167*D167)</f>
        <v>-7.7268000000000008</v>
      </c>
    </row>
    <row r="168" spans="1:8" ht="59.4">
      <c r="A168" s="75"/>
      <c r="B168" s="81" t="s">
        <v>91</v>
      </c>
      <c r="C168" s="101"/>
      <c r="D168" s="78">
        <v>1</v>
      </c>
      <c r="E168" s="79">
        <v>0.6</v>
      </c>
      <c r="F168" s="29"/>
      <c r="G168" s="34">
        <v>0.6</v>
      </c>
      <c r="H168" s="79">
        <f>-(G168*E168*D168)</f>
        <v>-0.36</v>
      </c>
    </row>
    <row r="169" spans="1:8" ht="59.4">
      <c r="A169" s="75"/>
      <c r="B169" s="92" t="s">
        <v>9</v>
      </c>
      <c r="C169" s="75" t="s">
        <v>14</v>
      </c>
      <c r="D169" s="75"/>
      <c r="E169" s="93"/>
      <c r="F169" s="93"/>
      <c r="G169" s="93"/>
      <c r="H169" s="93">
        <f>SUM(H159:H168)</f>
        <v>183.92789999999999</v>
      </c>
    </row>
    <row r="170" spans="1:8" ht="59.4">
      <c r="A170" s="75"/>
      <c r="B170" s="105"/>
      <c r="C170" s="106"/>
      <c r="D170" s="75"/>
      <c r="E170" s="107"/>
      <c r="F170" s="93"/>
      <c r="G170" s="93"/>
      <c r="H170" s="93"/>
    </row>
    <row r="171" spans="1:8" ht="253.2" customHeight="1">
      <c r="A171" s="96">
        <f>A158+1</f>
        <v>14</v>
      </c>
      <c r="B171" s="146" t="s">
        <v>70</v>
      </c>
      <c r="C171" s="146"/>
      <c r="D171" s="146"/>
      <c r="E171" s="146"/>
      <c r="F171" s="146"/>
      <c r="G171" s="146"/>
      <c r="H171" s="146"/>
    </row>
    <row r="172" spans="1:8" ht="59.4">
      <c r="A172" s="75"/>
      <c r="B172" s="89" t="s">
        <v>57</v>
      </c>
      <c r="C172" s="77"/>
      <c r="D172" s="78"/>
      <c r="E172" s="79"/>
      <c r="F172" s="79"/>
      <c r="G172" s="99"/>
      <c r="H172" s="79">
        <f>PRODUCT(D172:G172)</f>
        <v>0</v>
      </c>
    </row>
    <row r="173" spans="1:8" ht="59.4">
      <c r="A173" s="75"/>
      <c r="B173" s="94" t="s">
        <v>51</v>
      </c>
      <c r="C173" s="77"/>
      <c r="D173" s="78">
        <v>1</v>
      </c>
      <c r="E173" s="79">
        <f>39.75/3.28</f>
        <v>12.11890243902439</v>
      </c>
      <c r="F173" s="79">
        <f>24.75/3.28</f>
        <v>7.5457317073170733</v>
      </c>
      <c r="G173" s="99"/>
      <c r="H173" s="79">
        <f>PRODUCT(D173:G173)</f>
        <v>91.445986392028558</v>
      </c>
    </row>
    <row r="174" spans="1:8" ht="59.4">
      <c r="A174" s="75"/>
      <c r="D174" s="78">
        <v>1</v>
      </c>
      <c r="E174" s="79">
        <f>28/3.28</f>
        <v>8.536585365853659</v>
      </c>
      <c r="F174" s="79">
        <f>19.5/3.28</f>
        <v>5.9451219512195124</v>
      </c>
      <c r="G174" s="99"/>
      <c r="H174" s="79">
        <f>PRODUCT(D174:G174)</f>
        <v>50.751041046995837</v>
      </c>
    </row>
    <row r="175" spans="1:8" ht="59.4">
      <c r="A175" s="75"/>
      <c r="B175" s="94" t="s">
        <v>88</v>
      </c>
      <c r="C175" s="77"/>
      <c r="D175" s="78">
        <v>1</v>
      </c>
      <c r="E175" s="79">
        <f>12/3.28</f>
        <v>3.6585365853658538</v>
      </c>
      <c r="F175" s="79">
        <f>4/3.28</f>
        <v>1.2195121951219512</v>
      </c>
      <c r="G175" s="99"/>
      <c r="H175" s="79">
        <f t="shared" ref="H175:H177" si="11">PRODUCT(D175:G175)</f>
        <v>4.4616299821534797</v>
      </c>
    </row>
    <row r="176" spans="1:8" ht="59.4">
      <c r="A176" s="75"/>
      <c r="B176" s="94" t="s">
        <v>93</v>
      </c>
      <c r="C176" s="77"/>
      <c r="D176" s="78">
        <v>1</v>
      </c>
      <c r="E176" s="79">
        <f>6/3.28</f>
        <v>1.8292682926829269</v>
      </c>
      <c r="F176" s="79">
        <f>3.5/3.28</f>
        <v>1.0670731707317074</v>
      </c>
      <c r="G176" s="99"/>
      <c r="H176" s="79">
        <f t="shared" si="11"/>
        <v>1.9519631171921477</v>
      </c>
    </row>
    <row r="177" spans="1:8" ht="59.4">
      <c r="A177" s="75"/>
      <c r="B177" s="94" t="s">
        <v>94</v>
      </c>
      <c r="C177" s="77"/>
      <c r="D177" s="78">
        <v>1</v>
      </c>
      <c r="E177" s="79">
        <f>5.5/3.28</f>
        <v>1.6768292682926831</v>
      </c>
      <c r="F177" s="79">
        <f>3.5/3.28</f>
        <v>1.0670731707317074</v>
      </c>
      <c r="G177" s="99"/>
      <c r="H177" s="79">
        <f t="shared" si="11"/>
        <v>1.7892995240928022</v>
      </c>
    </row>
    <row r="178" spans="1:8" ht="59.4">
      <c r="A178" s="75"/>
      <c r="B178" s="108" t="s">
        <v>9</v>
      </c>
      <c r="C178" s="75" t="s">
        <v>14</v>
      </c>
      <c r="D178" s="75"/>
      <c r="E178" s="93"/>
      <c r="F178" s="93"/>
      <c r="G178" s="93"/>
      <c r="H178" s="93">
        <f>SUM(H173:H177)</f>
        <v>150.39992006246283</v>
      </c>
    </row>
    <row r="179" spans="1:8" ht="59.4">
      <c r="A179" s="75"/>
      <c r="B179" s="108"/>
      <c r="C179" s="75"/>
      <c r="D179" s="75"/>
      <c r="E179" s="93"/>
      <c r="F179" s="93"/>
      <c r="G179" s="93"/>
      <c r="H179" s="93"/>
    </row>
    <row r="180" spans="1:8" ht="409.6" customHeight="1">
      <c r="A180" s="75">
        <f>A171+1</f>
        <v>15</v>
      </c>
      <c r="B180" s="141" t="s">
        <v>128</v>
      </c>
      <c r="C180" s="142"/>
      <c r="D180" s="142"/>
      <c r="E180" s="142"/>
      <c r="F180" s="142"/>
      <c r="G180" s="142"/>
      <c r="H180" s="142"/>
    </row>
    <row r="181" spans="1:8" ht="59.4">
      <c r="A181" s="109"/>
      <c r="B181" s="140" t="s">
        <v>127</v>
      </c>
      <c r="C181" s="140"/>
      <c r="D181" s="140"/>
      <c r="E181" s="140"/>
      <c r="F181" s="110"/>
      <c r="G181" s="110"/>
      <c r="H181" s="110"/>
    </row>
    <row r="182" spans="1:8" ht="59.4">
      <c r="A182" s="54"/>
      <c r="B182" s="69" t="s">
        <v>51</v>
      </c>
      <c r="C182" s="64"/>
      <c r="D182" s="65">
        <v>1</v>
      </c>
      <c r="E182" s="66">
        <f>39.75/3.28</f>
        <v>12.11890243902439</v>
      </c>
      <c r="F182" s="111">
        <f>24.75/3.28</f>
        <v>7.5457317073170733</v>
      </c>
      <c r="G182" s="111"/>
      <c r="H182" s="29">
        <f>PRODUCT(C182:G182)</f>
        <v>91.445986392028558</v>
      </c>
    </row>
    <row r="183" spans="1:8" ht="48.75" customHeight="1">
      <c r="A183" s="54"/>
      <c r="B183" s="69"/>
      <c r="C183" s="64"/>
      <c r="D183" s="65">
        <v>1</v>
      </c>
      <c r="E183" s="66">
        <f>28/3.28</f>
        <v>8.536585365853659</v>
      </c>
      <c r="F183" s="111">
        <f>19.5/3.28</f>
        <v>5.9451219512195124</v>
      </c>
      <c r="G183" s="111"/>
      <c r="H183" s="29">
        <f>PRODUCT(C183:G183)</f>
        <v>50.751041046995837</v>
      </c>
    </row>
    <row r="184" spans="1:8" ht="75" customHeight="1">
      <c r="A184" s="54"/>
      <c r="B184" s="50" t="s">
        <v>9</v>
      </c>
      <c r="C184" s="7" t="s">
        <v>47</v>
      </c>
      <c r="D184" s="36"/>
      <c r="E184" s="37"/>
      <c r="F184" s="37"/>
      <c r="G184" s="37"/>
      <c r="H184" s="37">
        <f>SUM(H181:H183)</f>
        <v>142.1970274390244</v>
      </c>
    </row>
    <row r="185" spans="1:8" ht="48.75" customHeight="1">
      <c r="A185" s="54"/>
      <c r="B185" s="69"/>
      <c r="C185" s="64"/>
      <c r="D185" s="65"/>
      <c r="E185" s="66"/>
      <c r="F185" s="111"/>
      <c r="G185" s="111"/>
      <c r="H185" s="29"/>
    </row>
    <row r="186" spans="1:8" ht="358.8" customHeight="1">
      <c r="A186" s="54">
        <f>A180+1</f>
        <v>16</v>
      </c>
      <c r="B186" s="168" t="s">
        <v>143</v>
      </c>
      <c r="C186" s="169"/>
      <c r="D186" s="169"/>
      <c r="E186" s="169"/>
      <c r="F186" s="169"/>
      <c r="G186" s="169"/>
      <c r="H186" s="169"/>
    </row>
    <row r="187" spans="1:8" ht="75.75" customHeight="1">
      <c r="A187" s="54"/>
      <c r="B187" s="69" t="s">
        <v>126</v>
      </c>
      <c r="C187" s="64"/>
      <c r="D187" s="65"/>
      <c r="E187" s="66"/>
      <c r="F187" s="111"/>
      <c r="G187" s="111"/>
      <c r="H187" s="29"/>
    </row>
    <row r="188" spans="1:8" ht="48.75" customHeight="1">
      <c r="A188" s="54"/>
      <c r="B188" s="69"/>
      <c r="C188" s="64"/>
      <c r="D188" s="65">
        <v>1</v>
      </c>
      <c r="E188" s="66">
        <f>39.75+39.75+29.5+29.5</f>
        <v>138.5</v>
      </c>
      <c r="F188" s="111"/>
      <c r="G188" s="111">
        <v>0.1</v>
      </c>
      <c r="H188" s="29">
        <f>PRODUCT(D188:G188)</f>
        <v>13.850000000000001</v>
      </c>
    </row>
    <row r="189" spans="1:8" ht="59.4">
      <c r="A189" s="54"/>
      <c r="B189" s="69"/>
      <c r="C189" s="64"/>
      <c r="D189" s="65">
        <v>1</v>
      </c>
      <c r="E189" s="66">
        <f>28+28+19.5+19.5</f>
        <v>95</v>
      </c>
      <c r="F189" s="111"/>
      <c r="G189" s="111">
        <v>0.1</v>
      </c>
      <c r="H189" s="29">
        <f t="shared" ref="H189:H190" si="12">PRODUCT(D189:G189)</f>
        <v>9.5</v>
      </c>
    </row>
    <row r="190" spans="1:8" ht="59.4">
      <c r="A190" s="54"/>
      <c r="B190" s="63" t="s">
        <v>52</v>
      </c>
      <c r="C190" s="64"/>
      <c r="D190" s="65"/>
      <c r="E190" s="66"/>
      <c r="F190" s="111"/>
      <c r="G190" s="111"/>
      <c r="H190" s="29">
        <f t="shared" si="12"/>
        <v>0</v>
      </c>
    </row>
    <row r="191" spans="1:8" ht="59.4">
      <c r="A191" s="54"/>
      <c r="B191" s="69" t="s">
        <v>40</v>
      </c>
      <c r="C191" s="112"/>
      <c r="D191" s="65">
        <v>1</v>
      </c>
      <c r="E191" s="66">
        <f>4.5/3.28</f>
        <v>1.3719512195121952</v>
      </c>
      <c r="F191" s="111"/>
      <c r="G191" s="111">
        <v>0.1</v>
      </c>
      <c r="H191" s="29">
        <f>-(G191*E191)</f>
        <v>-0.13719512195121952</v>
      </c>
    </row>
    <row r="192" spans="1:8" ht="59.4">
      <c r="A192" s="54"/>
      <c r="B192" s="69"/>
      <c r="C192" s="64"/>
      <c r="D192" s="65"/>
      <c r="E192" s="66"/>
      <c r="F192" s="111"/>
      <c r="G192" s="111"/>
      <c r="H192" s="29"/>
    </row>
    <row r="193" spans="1:8" ht="59.4">
      <c r="A193" s="54"/>
      <c r="B193" s="50" t="s">
        <v>9</v>
      </c>
      <c r="C193" s="7" t="s">
        <v>47</v>
      </c>
      <c r="D193" s="36"/>
      <c r="E193" s="37"/>
      <c r="F193" s="37"/>
      <c r="G193" s="37"/>
      <c r="H193" s="37">
        <f>SUM(H188:H192)</f>
        <v>23.212804878048782</v>
      </c>
    </row>
    <row r="194" spans="1:8" ht="59.4">
      <c r="A194" s="75"/>
      <c r="B194" s="105"/>
      <c r="C194" s="81"/>
      <c r="D194" s="77"/>
      <c r="E194" s="78"/>
      <c r="F194" s="79"/>
      <c r="G194" s="79"/>
      <c r="H194" s="99"/>
    </row>
    <row r="195" spans="1:8">
      <c r="A195" s="155">
        <f>A186+1</f>
        <v>17</v>
      </c>
      <c r="B195" s="148" t="s">
        <v>138</v>
      </c>
      <c r="C195" s="148"/>
      <c r="D195" s="148"/>
      <c r="E195" s="148"/>
      <c r="F195" s="148"/>
      <c r="G195" s="148"/>
      <c r="H195" s="148"/>
    </row>
    <row r="196" spans="1:8" ht="409.6" customHeight="1">
      <c r="A196" s="155"/>
      <c r="B196" s="148"/>
      <c r="C196" s="148"/>
      <c r="D196" s="148"/>
      <c r="E196" s="148"/>
      <c r="F196" s="148"/>
      <c r="G196" s="148"/>
      <c r="H196" s="148"/>
    </row>
    <row r="197" spans="1:8" ht="59.4">
      <c r="A197" s="109"/>
      <c r="B197" s="140" t="s">
        <v>96</v>
      </c>
      <c r="C197" s="140"/>
      <c r="D197" s="140"/>
      <c r="E197" s="140"/>
      <c r="F197" s="110"/>
      <c r="G197" s="110"/>
      <c r="H197" s="110"/>
    </row>
    <row r="198" spans="1:8" ht="59.4">
      <c r="A198" s="54"/>
      <c r="B198" s="69" t="s">
        <v>95</v>
      </c>
      <c r="C198" s="64"/>
      <c r="D198" s="65">
        <v>1</v>
      </c>
      <c r="E198" s="66">
        <f>6/3.28</f>
        <v>1.8292682926829269</v>
      </c>
      <c r="F198" s="111">
        <f>3.5/3.28</f>
        <v>1.0670731707317074</v>
      </c>
      <c r="G198" s="111"/>
      <c r="H198" s="29">
        <f>PRODUCT(C198:G198)</f>
        <v>1.9519631171921477</v>
      </c>
    </row>
    <row r="199" spans="1:8" ht="59.4">
      <c r="A199" s="54"/>
      <c r="B199" s="69" t="s">
        <v>94</v>
      </c>
      <c r="C199" s="64"/>
      <c r="D199" s="65">
        <v>1</v>
      </c>
      <c r="E199" s="66">
        <f>5.5/3.28</f>
        <v>1.6768292682926831</v>
      </c>
      <c r="F199" s="111">
        <f>3.5/3.28</f>
        <v>1.0670731707317074</v>
      </c>
      <c r="G199" s="111"/>
      <c r="H199" s="29">
        <f t="shared" ref="H199" si="13">PRODUCT(C199:G199)</f>
        <v>1.7892995240928022</v>
      </c>
    </row>
    <row r="200" spans="1:8" ht="59.4">
      <c r="A200" s="54"/>
      <c r="B200" s="69" t="s">
        <v>88</v>
      </c>
      <c r="C200" s="64"/>
      <c r="D200" s="65">
        <v>1</v>
      </c>
      <c r="E200" s="66">
        <f>4/3.28</f>
        <v>1.2195121951219512</v>
      </c>
      <c r="F200" s="111">
        <f>12/3.28</f>
        <v>3.6585365853658538</v>
      </c>
      <c r="G200" s="111"/>
      <c r="H200" s="29">
        <f>PRODUCT(C200:G200)</f>
        <v>4.4616299821534797</v>
      </c>
    </row>
    <row r="201" spans="1:8" ht="59.4">
      <c r="A201" s="54"/>
      <c r="B201" s="50" t="s">
        <v>9</v>
      </c>
      <c r="C201" s="7" t="s">
        <v>47</v>
      </c>
      <c r="D201" s="36"/>
      <c r="E201" s="37"/>
      <c r="F201" s="37"/>
      <c r="G201" s="37"/>
      <c r="H201" s="37">
        <f>SUM(H198:H200)</f>
        <v>8.2028926234384301</v>
      </c>
    </row>
    <row r="202" spans="1:8" ht="59.4">
      <c r="A202" s="54"/>
      <c r="B202" s="60"/>
      <c r="C202" s="31"/>
      <c r="D202" s="7"/>
      <c r="E202" s="32"/>
      <c r="F202" s="32"/>
      <c r="G202" s="32"/>
      <c r="H202" s="16"/>
    </row>
    <row r="203" spans="1:8" ht="409.2" customHeight="1">
      <c r="A203" s="109">
        <f>A195+1</f>
        <v>18</v>
      </c>
      <c r="B203" s="144" t="s">
        <v>142</v>
      </c>
      <c r="C203" s="144"/>
      <c r="D203" s="144"/>
      <c r="E203" s="144"/>
      <c r="F203" s="144"/>
      <c r="G203" s="144"/>
      <c r="H203" s="144"/>
    </row>
    <row r="204" spans="1:8" ht="59.4">
      <c r="A204" s="54"/>
      <c r="B204" s="39" t="s">
        <v>97</v>
      </c>
      <c r="C204" s="24"/>
      <c r="D204" s="28"/>
      <c r="E204" s="29"/>
      <c r="F204" s="29"/>
      <c r="G204" s="34"/>
      <c r="H204" s="29">
        <v>0</v>
      </c>
    </row>
    <row r="205" spans="1:8" ht="59.4">
      <c r="A205" s="54"/>
      <c r="B205" s="69" t="s">
        <v>95</v>
      </c>
      <c r="C205" s="64"/>
      <c r="D205" s="65">
        <v>2</v>
      </c>
      <c r="E205" s="66">
        <f>6/3.28</f>
        <v>1.8292682926829269</v>
      </c>
      <c r="G205" s="111">
        <v>2.1</v>
      </c>
      <c r="H205" s="29">
        <f t="shared" ref="H205:H208" si="14">PRODUCT(C205:G205)</f>
        <v>7.6829268292682933</v>
      </c>
    </row>
    <row r="206" spans="1:8" ht="59.4">
      <c r="A206" s="54"/>
      <c r="B206" s="69"/>
      <c r="C206" s="64"/>
      <c r="D206" s="65">
        <v>2</v>
      </c>
      <c r="E206" s="66">
        <f>3.5/3.28</f>
        <v>1.0670731707317074</v>
      </c>
      <c r="G206" s="111">
        <v>2.1</v>
      </c>
      <c r="H206" s="29">
        <f t="shared" si="14"/>
        <v>4.4817073170731714</v>
      </c>
    </row>
    <row r="207" spans="1:8" ht="59.4">
      <c r="A207" s="54"/>
      <c r="B207" s="69" t="s">
        <v>94</v>
      </c>
      <c r="C207" s="64"/>
      <c r="D207" s="65">
        <v>2</v>
      </c>
      <c r="E207" s="66">
        <f>6/3.28</f>
        <v>1.8292682926829269</v>
      </c>
      <c r="G207" s="111">
        <f>4/3.28</f>
        <v>1.2195121951219512</v>
      </c>
      <c r="H207" s="29">
        <f t="shared" si="14"/>
        <v>4.4616299821534797</v>
      </c>
    </row>
    <row r="208" spans="1:8" ht="59.4">
      <c r="A208" s="54"/>
      <c r="B208" s="39" t="s">
        <v>86</v>
      </c>
      <c r="C208" s="24"/>
      <c r="D208" s="28"/>
      <c r="E208" s="29"/>
      <c r="F208" s="29"/>
      <c r="G208" s="34"/>
      <c r="H208" s="29">
        <f t="shared" si="14"/>
        <v>0</v>
      </c>
    </row>
    <row r="209" spans="1:8" ht="59.4">
      <c r="A209" s="54"/>
      <c r="B209" s="58" t="s">
        <v>87</v>
      </c>
      <c r="C209" s="24"/>
      <c r="D209" s="28">
        <v>-2</v>
      </c>
      <c r="E209" s="29">
        <v>0.76</v>
      </c>
      <c r="F209" s="29"/>
      <c r="G209" s="34">
        <v>2.1</v>
      </c>
      <c r="H209" s="29">
        <f>PRODUCT(C209:G209)</f>
        <v>-3.1920000000000002</v>
      </c>
    </row>
    <row r="210" spans="1:8" ht="59.4">
      <c r="A210" s="54"/>
      <c r="B210" s="58" t="s">
        <v>91</v>
      </c>
      <c r="C210" s="24"/>
      <c r="D210" s="28">
        <v>-1</v>
      </c>
      <c r="E210" s="29">
        <v>0.6</v>
      </c>
      <c r="F210" s="29"/>
      <c r="G210" s="34">
        <v>0.45</v>
      </c>
      <c r="H210" s="29">
        <f>PRODUCT(C210:G210)</f>
        <v>-0.27</v>
      </c>
    </row>
    <row r="211" spans="1:8" ht="59.4">
      <c r="A211" s="54"/>
      <c r="B211" s="50" t="s">
        <v>9</v>
      </c>
      <c r="C211" s="7" t="s">
        <v>47</v>
      </c>
      <c r="D211" s="28"/>
      <c r="E211" s="29"/>
      <c r="F211" s="29"/>
      <c r="G211" s="26"/>
      <c r="H211" s="9">
        <f>SUM(H205:H210)</f>
        <v>13.164264128494946</v>
      </c>
    </row>
    <row r="212" spans="1:8" ht="59.4">
      <c r="A212" s="75"/>
      <c r="B212" s="105"/>
      <c r="C212" s="81"/>
      <c r="D212" s="77"/>
      <c r="E212" s="78"/>
      <c r="F212" s="79"/>
      <c r="G212" s="79"/>
      <c r="H212" s="99"/>
    </row>
    <row r="213" spans="1:8" ht="205.2" customHeight="1">
      <c r="A213" s="113">
        <f>A203+1</f>
        <v>19</v>
      </c>
      <c r="B213" s="173" t="s">
        <v>71</v>
      </c>
      <c r="C213" s="173"/>
      <c r="D213" s="173"/>
      <c r="E213" s="173"/>
      <c r="F213" s="173"/>
      <c r="G213" s="173"/>
      <c r="H213" s="173"/>
    </row>
    <row r="214" spans="1:8" ht="59.4">
      <c r="A214" s="75"/>
      <c r="B214" s="174" t="s">
        <v>58</v>
      </c>
      <c r="C214" s="174"/>
      <c r="D214" s="78"/>
      <c r="E214" s="79"/>
      <c r="F214" s="79"/>
      <c r="G214" s="80"/>
      <c r="H214" s="79">
        <f>H156</f>
        <v>291.70266341463406</v>
      </c>
    </row>
    <row r="215" spans="1:8" ht="59.4">
      <c r="A215" s="96"/>
      <c r="B215" s="94" t="s">
        <v>59</v>
      </c>
      <c r="C215" s="114"/>
      <c r="D215" s="75"/>
      <c r="E215" s="115"/>
      <c r="F215" s="115"/>
      <c r="G215" s="115"/>
      <c r="H215" s="79">
        <f>H178</f>
        <v>150.39992006246283</v>
      </c>
    </row>
    <row r="216" spans="1:8" ht="59.4">
      <c r="A216" s="96"/>
      <c r="B216" s="94" t="s">
        <v>54</v>
      </c>
      <c r="C216" s="114"/>
      <c r="D216" s="75"/>
      <c r="E216" s="115"/>
      <c r="F216" s="115"/>
      <c r="G216" s="115"/>
      <c r="H216" s="79">
        <f>+H169</f>
        <v>183.92789999999999</v>
      </c>
    </row>
    <row r="217" spans="1:8" ht="59.4">
      <c r="A217" s="96"/>
      <c r="B217" s="94" t="s">
        <v>60</v>
      </c>
      <c r="C217" s="114"/>
      <c r="D217" s="75"/>
      <c r="E217" s="115"/>
      <c r="F217" s="115"/>
      <c r="G217" s="115"/>
      <c r="H217" s="79">
        <f>-33.64</f>
        <v>-33.64</v>
      </c>
    </row>
    <row r="218" spans="1:8" ht="59.4">
      <c r="A218" s="82"/>
      <c r="B218" s="89" t="s">
        <v>9</v>
      </c>
      <c r="C218" s="75" t="s">
        <v>50</v>
      </c>
      <c r="D218" s="75"/>
      <c r="E218" s="93"/>
      <c r="F218" s="93"/>
      <c r="G218" s="93"/>
      <c r="H218" s="93">
        <f>SUM(H214:H217)</f>
        <v>592.39048347709695</v>
      </c>
    </row>
    <row r="219" spans="1:8" s="1" customFormat="1" ht="59.4">
      <c r="A219" s="82"/>
      <c r="B219" s="105"/>
      <c r="C219" s="76"/>
      <c r="D219" s="75"/>
      <c r="E219" s="107"/>
      <c r="F219" s="93"/>
      <c r="G219" s="93"/>
      <c r="H219" s="93"/>
    </row>
    <row r="220" spans="1:8" s="1" customFormat="1" ht="59.4" customHeight="1">
      <c r="A220" s="156">
        <f>A213+1</f>
        <v>20</v>
      </c>
      <c r="B220" s="175" t="s">
        <v>72</v>
      </c>
      <c r="C220" s="175"/>
      <c r="D220" s="175"/>
      <c r="E220" s="175"/>
      <c r="F220" s="175"/>
      <c r="G220" s="175"/>
      <c r="H220" s="175"/>
    </row>
    <row r="221" spans="1:8" s="1" customFormat="1" ht="409.6" customHeight="1">
      <c r="A221" s="156"/>
      <c r="B221" s="175"/>
      <c r="C221" s="175"/>
      <c r="D221" s="175"/>
      <c r="E221" s="175"/>
      <c r="F221" s="175"/>
      <c r="G221" s="175"/>
      <c r="H221" s="175"/>
    </row>
    <row r="222" spans="1:8" s="1" customFormat="1" ht="59.4">
      <c r="A222" s="75"/>
      <c r="B222" s="176" t="s">
        <v>58</v>
      </c>
      <c r="C222" s="176"/>
      <c r="D222" s="78"/>
      <c r="E222" s="79"/>
      <c r="F222" s="79"/>
      <c r="G222" s="80"/>
      <c r="H222" s="116">
        <f>H156</f>
        <v>291.70266341463406</v>
      </c>
    </row>
    <row r="223" spans="1:8" s="1" customFormat="1" ht="59.4">
      <c r="A223" s="96"/>
      <c r="B223" s="117" t="s">
        <v>59</v>
      </c>
      <c r="C223" s="114"/>
      <c r="D223" s="75"/>
      <c r="E223" s="115"/>
      <c r="F223" s="115"/>
      <c r="G223" s="115"/>
      <c r="H223" s="116">
        <f>H178</f>
        <v>150.39992006246283</v>
      </c>
    </row>
    <row r="224" spans="1:8" s="1" customFormat="1" ht="59.4">
      <c r="A224" s="75"/>
      <c r="B224" s="118" t="s">
        <v>9</v>
      </c>
      <c r="C224" s="75" t="s">
        <v>47</v>
      </c>
      <c r="D224" s="75"/>
      <c r="E224" s="93"/>
      <c r="F224" s="93"/>
      <c r="G224" s="93"/>
      <c r="H224" s="93">
        <f>SUM(H222:H223)</f>
        <v>442.10258347709691</v>
      </c>
    </row>
    <row r="225" spans="1:8" s="1" customFormat="1" ht="59.4">
      <c r="A225" s="75"/>
      <c r="B225" s="119"/>
      <c r="C225" s="31"/>
      <c r="D225" s="7"/>
      <c r="E225" s="32"/>
      <c r="F225" s="32"/>
      <c r="G225" s="32"/>
      <c r="H225" s="16"/>
    </row>
    <row r="226" spans="1:8" s="1" customFormat="1" ht="59.4" customHeight="1">
      <c r="A226" s="156">
        <f>+A220+1</f>
        <v>21</v>
      </c>
      <c r="B226" s="152" t="s">
        <v>73</v>
      </c>
      <c r="C226" s="152"/>
      <c r="D226" s="152"/>
      <c r="E226" s="152"/>
      <c r="F226" s="152"/>
      <c r="G226" s="152"/>
      <c r="H226" s="152"/>
    </row>
    <row r="227" spans="1:8" s="1" customFormat="1" ht="409.6" customHeight="1">
      <c r="A227" s="156"/>
      <c r="B227" s="152"/>
      <c r="C227" s="152"/>
      <c r="D227" s="152"/>
      <c r="E227" s="152"/>
      <c r="F227" s="152"/>
      <c r="G227" s="152"/>
      <c r="H227" s="152"/>
    </row>
    <row r="228" spans="1:8" s="1" customFormat="1" ht="85.2" customHeight="1">
      <c r="A228" s="96"/>
      <c r="B228" s="152"/>
      <c r="C228" s="152"/>
      <c r="D228" s="152"/>
      <c r="E228" s="152"/>
      <c r="F228" s="152"/>
      <c r="G228" s="152"/>
      <c r="H228" s="152"/>
    </row>
    <row r="229" spans="1:8" s="1" customFormat="1" ht="59.4">
      <c r="A229" s="75"/>
      <c r="B229" s="171" t="s">
        <v>61</v>
      </c>
      <c r="C229" s="171"/>
      <c r="D229" s="171"/>
      <c r="E229" s="171"/>
      <c r="F229" s="171"/>
      <c r="G229" s="79"/>
      <c r="H229" s="79">
        <f>H169</f>
        <v>183.92789999999999</v>
      </c>
    </row>
    <row r="230" spans="1:8" s="1" customFormat="1" ht="59.4">
      <c r="A230" s="75"/>
      <c r="B230" s="92" t="s">
        <v>9</v>
      </c>
      <c r="C230" s="75" t="s">
        <v>47</v>
      </c>
      <c r="D230" s="75"/>
      <c r="E230" s="93"/>
      <c r="F230" s="93"/>
      <c r="G230" s="93"/>
      <c r="H230" s="93">
        <f>SUM(H229)</f>
        <v>183.92789999999999</v>
      </c>
    </row>
    <row r="231" spans="1:8" s="1" customFormat="1" ht="59.4">
      <c r="A231" s="75"/>
      <c r="B231" s="92"/>
      <c r="C231" s="75"/>
      <c r="D231" s="75"/>
      <c r="E231" s="93"/>
      <c r="F231" s="93"/>
      <c r="G231" s="93"/>
      <c r="H231" s="93"/>
    </row>
    <row r="232" spans="1:8" s="1" customFormat="1" ht="409.6" customHeight="1">
      <c r="A232" s="75">
        <f>A226+1</f>
        <v>22</v>
      </c>
      <c r="B232" s="157" t="s">
        <v>141</v>
      </c>
      <c r="C232" s="157"/>
      <c r="D232" s="157"/>
      <c r="E232" s="157"/>
      <c r="F232" s="157"/>
      <c r="G232" s="157"/>
      <c r="H232" s="157"/>
    </row>
    <row r="233" spans="1:8" s="1" customFormat="1" ht="68.400000000000006" customHeight="1">
      <c r="A233" s="75"/>
      <c r="B233" s="98" t="s">
        <v>123</v>
      </c>
      <c r="C233" s="98">
        <v>1</v>
      </c>
      <c r="D233" s="97">
        <f>1.37+1.37+2.1+2.1+0.6</f>
        <v>7.5399999999999991</v>
      </c>
      <c r="E233" s="98"/>
      <c r="F233" s="98">
        <v>2.1</v>
      </c>
      <c r="H233" s="98">
        <f>F233*D233</f>
        <v>15.834</v>
      </c>
    </row>
    <row r="234" spans="1:8" s="1" customFormat="1" ht="68.400000000000006" customHeight="1">
      <c r="A234" s="75"/>
      <c r="B234" s="98"/>
      <c r="C234" s="98">
        <v>1</v>
      </c>
      <c r="D234" s="97">
        <v>0.08</v>
      </c>
      <c r="E234" s="98"/>
      <c r="F234" s="98">
        <v>2.1</v>
      </c>
      <c r="H234" s="98">
        <f>F234*D234</f>
        <v>0.16800000000000001</v>
      </c>
    </row>
    <row r="235" spans="1:8" s="1" customFormat="1" ht="59.4">
      <c r="A235" s="75"/>
      <c r="C235" s="120" t="s">
        <v>47</v>
      </c>
      <c r="D235" s="121"/>
      <c r="E235" s="122"/>
      <c r="F235" s="122"/>
      <c r="H235" s="123">
        <f>SUM(H233:H234)</f>
        <v>16.001999999999999</v>
      </c>
    </row>
    <row r="236" spans="1:8" s="1" customFormat="1" ht="59.4">
      <c r="A236" s="75"/>
      <c r="B236" s="30"/>
      <c r="C236" s="31"/>
      <c r="D236" s="7"/>
      <c r="E236" s="32"/>
      <c r="F236" s="32"/>
      <c r="G236" s="32"/>
      <c r="H236" s="16"/>
    </row>
    <row r="237" spans="1:8" s="1" customFormat="1" ht="15" customHeight="1">
      <c r="A237" s="172">
        <f>A232+1</f>
        <v>23</v>
      </c>
      <c r="B237" s="153" t="s">
        <v>140</v>
      </c>
      <c r="C237" s="153"/>
      <c r="D237" s="153"/>
      <c r="E237" s="153"/>
      <c r="F237" s="153"/>
      <c r="G237" s="153"/>
      <c r="H237" s="153"/>
    </row>
    <row r="238" spans="1:8" s="1" customFormat="1" ht="409.6" customHeight="1">
      <c r="A238" s="172"/>
      <c r="B238" s="153"/>
      <c r="C238" s="153"/>
      <c r="D238" s="153"/>
      <c r="E238" s="153"/>
      <c r="F238" s="153"/>
      <c r="G238" s="153"/>
      <c r="H238" s="153"/>
    </row>
    <row r="239" spans="1:8" s="1" customFormat="1" ht="358.95" customHeight="1">
      <c r="A239" s="124"/>
      <c r="B239" s="153"/>
      <c r="C239" s="153"/>
      <c r="D239" s="153"/>
      <c r="E239" s="153"/>
      <c r="F239" s="153"/>
      <c r="G239" s="153"/>
      <c r="H239" s="153"/>
    </row>
    <row r="240" spans="1:8" s="1" customFormat="1" ht="49.8">
      <c r="B240" s="122" t="s">
        <v>100</v>
      </c>
      <c r="C240" s="125">
        <v>1</v>
      </c>
      <c r="D240" s="121">
        <f>8.76+5.94</f>
        <v>14.7</v>
      </c>
      <c r="E240" s="122"/>
      <c r="F240" s="122">
        <v>7.46</v>
      </c>
      <c r="G240" s="126">
        <f>F240*D240*C240</f>
        <v>109.66199999999999</v>
      </c>
      <c r="H240" s="120"/>
    </row>
    <row r="241" spans="1:10" s="1" customFormat="1" ht="49.8">
      <c r="B241" s="122" t="s">
        <v>52</v>
      </c>
      <c r="C241" s="125"/>
      <c r="D241" s="121"/>
      <c r="E241" s="122"/>
      <c r="F241" s="122"/>
      <c r="G241" s="126">
        <v>-12.57</v>
      </c>
      <c r="H241" s="120"/>
    </row>
    <row r="242" spans="1:10" s="1" customFormat="1" ht="49.8">
      <c r="A242" s="127"/>
      <c r="B242" s="120" t="s">
        <v>47</v>
      </c>
      <c r="C242" s="125"/>
      <c r="D242" s="121"/>
      <c r="E242" s="122"/>
      <c r="F242" s="122"/>
      <c r="G242" s="123">
        <f>SUM(G240:G241)</f>
        <v>97.091999999999985</v>
      </c>
      <c r="H242" s="120">
        <v>3989</v>
      </c>
    </row>
    <row r="243" spans="1:10" s="1" customFormat="1" ht="59.4">
      <c r="A243" s="127"/>
      <c r="B243" s="60"/>
      <c r="C243" s="31"/>
      <c r="D243" s="7"/>
      <c r="E243" s="32"/>
      <c r="F243" s="32"/>
      <c r="G243" s="32"/>
      <c r="H243" s="16"/>
    </row>
    <row r="244" spans="1:10" s="1" customFormat="1" ht="60" customHeight="1">
      <c r="A244" s="156">
        <f>A237+1</f>
        <v>24</v>
      </c>
      <c r="B244" s="154" t="s">
        <v>134</v>
      </c>
      <c r="C244" s="154"/>
      <c r="D244" s="154"/>
      <c r="E244" s="154"/>
      <c r="F244" s="154"/>
      <c r="G244" s="154"/>
      <c r="H244" s="154"/>
      <c r="I244" s="2"/>
      <c r="J244" s="2"/>
    </row>
    <row r="245" spans="1:10" s="1" customFormat="1" ht="409.6" customHeight="1">
      <c r="A245" s="156"/>
      <c r="B245" s="154"/>
      <c r="C245" s="154"/>
      <c r="D245" s="154"/>
      <c r="E245" s="154"/>
      <c r="F245" s="154"/>
      <c r="G245" s="154"/>
      <c r="H245" s="154"/>
      <c r="I245" s="2"/>
      <c r="J245" s="2"/>
    </row>
    <row r="246" spans="1:10" s="1" customFormat="1" ht="409.2" customHeight="1">
      <c r="A246" s="96"/>
      <c r="B246" s="154"/>
      <c r="C246" s="154"/>
      <c r="D246" s="154"/>
      <c r="E246" s="154"/>
      <c r="F246" s="154"/>
      <c r="G246" s="154"/>
      <c r="H246" s="154"/>
      <c r="I246" s="2"/>
      <c r="J246" s="2"/>
    </row>
    <row r="247" spans="1:10" s="1" customFormat="1" ht="60.6">
      <c r="A247" s="127"/>
      <c r="B247" s="128" t="s">
        <v>100</v>
      </c>
      <c r="C247" s="129"/>
      <c r="D247" s="130">
        <v>1</v>
      </c>
      <c r="E247" s="128">
        <f>0.75*6</f>
        <v>4.5</v>
      </c>
      <c r="F247" s="128"/>
      <c r="G247" s="128">
        <v>3.65</v>
      </c>
      <c r="H247" s="131">
        <f>G247*E247*D247</f>
        <v>16.425000000000001</v>
      </c>
      <c r="I247" s="3"/>
      <c r="J247" s="3"/>
    </row>
    <row r="248" spans="1:10" s="1" customFormat="1" ht="60.6">
      <c r="A248" s="127"/>
      <c r="B248" s="132"/>
      <c r="C248" s="129" t="s">
        <v>47</v>
      </c>
      <c r="D248" s="130"/>
      <c r="E248" s="128"/>
      <c r="F248" s="128"/>
      <c r="G248" s="128"/>
      <c r="H248" s="133">
        <f>SUM(H247:H247)</f>
        <v>16.425000000000001</v>
      </c>
    </row>
    <row r="249" spans="1:10" s="1" customFormat="1" ht="59.4">
      <c r="A249" s="127"/>
      <c r="B249" s="60"/>
      <c r="C249" s="31"/>
      <c r="D249" s="7"/>
      <c r="E249" s="32"/>
      <c r="F249" s="32"/>
      <c r="G249" s="32"/>
      <c r="H249" s="16"/>
    </row>
    <row r="250" spans="1:10" s="1" customFormat="1" ht="15" customHeight="1">
      <c r="A250" s="156">
        <f>A244+1</f>
        <v>25</v>
      </c>
      <c r="B250" s="139" t="s">
        <v>112</v>
      </c>
      <c r="C250" s="139"/>
      <c r="D250" s="139"/>
      <c r="E250" s="139"/>
      <c r="F250" s="139"/>
      <c r="G250" s="139"/>
      <c r="H250" s="139"/>
    </row>
    <row r="251" spans="1:10" s="1" customFormat="1" ht="409.6" customHeight="1">
      <c r="A251" s="156"/>
      <c r="B251" s="139"/>
      <c r="C251" s="139"/>
      <c r="D251" s="139"/>
      <c r="E251" s="139"/>
      <c r="F251" s="139"/>
      <c r="G251" s="139"/>
      <c r="H251" s="139"/>
    </row>
    <row r="252" spans="1:10" s="1" customFormat="1" ht="140.4" customHeight="1">
      <c r="A252" s="138"/>
      <c r="B252" s="139"/>
      <c r="C252" s="139"/>
      <c r="D252" s="139"/>
      <c r="E252" s="139"/>
      <c r="F252" s="139"/>
      <c r="G252" s="139"/>
      <c r="H252" s="139"/>
    </row>
    <row r="253" spans="1:10" s="1" customFormat="1" ht="60.6">
      <c r="A253" s="127"/>
      <c r="B253" s="128" t="s">
        <v>107</v>
      </c>
      <c r="C253" s="129"/>
      <c r="D253" s="130">
        <v>1</v>
      </c>
      <c r="E253" s="128">
        <v>10.94</v>
      </c>
      <c r="F253" s="128"/>
      <c r="G253" s="128">
        <v>2.4300000000000002</v>
      </c>
      <c r="H253" s="131">
        <f>G253*E253*D253</f>
        <v>26.584199999999999</v>
      </c>
    </row>
    <row r="254" spans="1:10" s="1" customFormat="1" ht="60.6">
      <c r="A254" s="127"/>
      <c r="B254" s="132"/>
      <c r="C254" s="129" t="s">
        <v>47</v>
      </c>
      <c r="D254" s="130"/>
      <c r="E254" s="128"/>
      <c r="F254" s="128"/>
      <c r="G254" s="128"/>
      <c r="H254" s="133">
        <f>SUM(H253:H253)</f>
        <v>26.584199999999999</v>
      </c>
    </row>
    <row r="255" spans="1:10" ht="52.95" customHeight="1"/>
    <row r="256" spans="1:10" ht="217.2" customHeight="1">
      <c r="A256" s="96">
        <f>A250+1</f>
        <v>26</v>
      </c>
      <c r="B256" s="139" t="s">
        <v>133</v>
      </c>
      <c r="C256" s="139"/>
      <c r="D256" s="139"/>
      <c r="E256" s="139"/>
      <c r="F256" s="139"/>
      <c r="G256" s="139"/>
      <c r="H256" s="139"/>
      <c r="I256" s="1"/>
      <c r="J256" s="1"/>
    </row>
    <row r="257" spans="1:10" ht="146.4" customHeight="1">
      <c r="A257" s="96"/>
      <c r="B257" s="135" t="s">
        <v>115</v>
      </c>
      <c r="C257" s="12" t="s">
        <v>113</v>
      </c>
      <c r="E257" s="136"/>
      <c r="F257" s="137">
        <f>5%*E257</f>
        <v>0</v>
      </c>
      <c r="G257" s="137">
        <f>2%*E257</f>
        <v>0</v>
      </c>
      <c r="H257" s="136">
        <v>2</v>
      </c>
      <c r="I257" s="4"/>
      <c r="J257" s="4"/>
    </row>
    <row r="258" spans="1:10" ht="210" customHeight="1">
      <c r="A258" s="96">
        <f>A256+1</f>
        <v>27</v>
      </c>
      <c r="B258" s="139" t="s">
        <v>137</v>
      </c>
      <c r="C258" s="139"/>
      <c r="D258" s="139"/>
      <c r="E258" s="139"/>
      <c r="F258" s="139"/>
      <c r="G258" s="139"/>
      <c r="H258" s="139"/>
      <c r="I258" s="1"/>
      <c r="J258" s="1"/>
    </row>
    <row r="259" spans="1:10" ht="118.8">
      <c r="A259" s="96"/>
      <c r="B259" s="135" t="s">
        <v>114</v>
      </c>
      <c r="C259" s="12" t="s">
        <v>113</v>
      </c>
      <c r="E259" s="136"/>
      <c r="F259" s="137">
        <f>5%*E259</f>
        <v>0</v>
      </c>
      <c r="G259" s="137">
        <f>2%*E259</f>
        <v>0</v>
      </c>
      <c r="H259" s="136">
        <v>2</v>
      </c>
      <c r="I259" s="4"/>
      <c r="J259" s="4"/>
    </row>
    <row r="260" spans="1:10" ht="121.5" customHeight="1">
      <c r="A260" s="96"/>
      <c r="B260" s="135" t="s">
        <v>118</v>
      </c>
      <c r="C260" s="12" t="s">
        <v>113</v>
      </c>
      <c r="E260" s="136"/>
      <c r="F260" s="137">
        <f>5%*E260</f>
        <v>0</v>
      </c>
      <c r="G260" s="137">
        <f>2%*E260</f>
        <v>0</v>
      </c>
      <c r="H260" s="136">
        <v>2</v>
      </c>
      <c r="I260" s="4"/>
      <c r="J260" s="4"/>
    </row>
    <row r="261" spans="1:10" ht="189.6" customHeight="1">
      <c r="A261" s="96">
        <f>A258+1</f>
        <v>28</v>
      </c>
      <c r="B261" s="139" t="s">
        <v>136</v>
      </c>
      <c r="C261" s="139"/>
      <c r="D261" s="139"/>
      <c r="E261" s="139"/>
      <c r="F261" s="139"/>
      <c r="G261" s="139"/>
      <c r="H261" s="139"/>
      <c r="I261" s="1"/>
      <c r="J261" s="1"/>
    </row>
    <row r="262" spans="1:10" ht="178.2" customHeight="1">
      <c r="A262" s="96"/>
      <c r="B262" s="135" t="s">
        <v>116</v>
      </c>
      <c r="C262" s="12" t="s">
        <v>113</v>
      </c>
      <c r="E262" s="136">
        <v>2</v>
      </c>
      <c r="F262" s="137"/>
      <c r="G262" s="137"/>
      <c r="H262" s="136">
        <v>2</v>
      </c>
      <c r="I262" s="4"/>
      <c r="J262" s="4"/>
    </row>
    <row r="263" spans="1:10" ht="60.6" customHeight="1">
      <c r="A263" s="96"/>
      <c r="B263" s="135" t="s">
        <v>117</v>
      </c>
      <c r="C263" s="12" t="s">
        <v>113</v>
      </c>
      <c r="E263" s="136">
        <v>2</v>
      </c>
      <c r="F263" s="137"/>
      <c r="G263" s="137"/>
      <c r="H263" s="136">
        <v>6</v>
      </c>
      <c r="I263" s="4"/>
      <c r="J263" s="4"/>
    </row>
    <row r="264" spans="1:10" ht="61.2">
      <c r="A264" s="96"/>
      <c r="B264" s="135"/>
      <c r="C264" s="12"/>
      <c r="E264" s="136"/>
      <c r="F264" s="137"/>
      <c r="G264" s="137"/>
      <c r="H264" s="136"/>
      <c r="I264" s="4"/>
      <c r="J264" s="4"/>
    </row>
    <row r="265" spans="1:10" ht="207.6" customHeight="1">
      <c r="A265" s="96">
        <f>A261+1</f>
        <v>29</v>
      </c>
      <c r="B265" s="139" t="s">
        <v>136</v>
      </c>
      <c r="C265" s="139"/>
      <c r="D265" s="139"/>
      <c r="E265" s="139"/>
      <c r="F265" s="139"/>
      <c r="G265" s="139"/>
      <c r="H265" s="139"/>
      <c r="I265" s="1"/>
      <c r="J265" s="1"/>
    </row>
    <row r="266" spans="1:10" ht="82.95" customHeight="1">
      <c r="A266" s="96"/>
      <c r="B266" s="135" t="s">
        <v>120</v>
      </c>
      <c r="C266" s="12" t="s">
        <v>113</v>
      </c>
      <c r="E266" s="136">
        <v>6</v>
      </c>
      <c r="F266" s="137"/>
      <c r="G266" s="137"/>
      <c r="H266" s="136">
        <v>6</v>
      </c>
      <c r="I266" s="4"/>
      <c r="J266" s="4"/>
    </row>
    <row r="267" spans="1:10" ht="78" customHeight="1">
      <c r="A267" s="96"/>
      <c r="B267" s="135" t="s">
        <v>121</v>
      </c>
      <c r="C267" s="12" t="s">
        <v>113</v>
      </c>
      <c r="E267" s="136">
        <v>18</v>
      </c>
      <c r="F267" s="137"/>
      <c r="G267" s="137"/>
      <c r="H267" s="136">
        <v>18</v>
      </c>
      <c r="I267" s="4"/>
      <c r="J267" s="4"/>
    </row>
    <row r="268" spans="1:10" ht="61.2">
      <c r="A268" s="96"/>
      <c r="B268" s="135"/>
      <c r="C268" s="12"/>
      <c r="E268" s="136"/>
      <c r="F268" s="137"/>
      <c r="G268" s="137"/>
      <c r="H268" s="136"/>
      <c r="I268" s="4"/>
      <c r="J268" s="4"/>
    </row>
    <row r="269" spans="1:10" ht="214.95" customHeight="1">
      <c r="A269" s="96">
        <f>A265+1</f>
        <v>30</v>
      </c>
      <c r="B269" s="139" t="s">
        <v>139</v>
      </c>
      <c r="C269" s="139"/>
      <c r="D269" s="139"/>
      <c r="E269" s="139"/>
      <c r="F269" s="139"/>
      <c r="G269" s="139"/>
      <c r="H269" s="139"/>
      <c r="I269" s="1"/>
      <c r="J269" s="1"/>
    </row>
    <row r="270" spans="1:10" ht="118.8">
      <c r="A270" s="96"/>
      <c r="B270" s="135" t="s">
        <v>119</v>
      </c>
      <c r="C270" s="12" t="s">
        <v>113</v>
      </c>
      <c r="E270" s="136">
        <v>5</v>
      </c>
      <c r="F270" s="137"/>
      <c r="G270" s="137"/>
      <c r="H270" s="136">
        <v>5</v>
      </c>
      <c r="I270" s="4"/>
      <c r="J270" s="4"/>
    </row>
    <row r="271" spans="1:10" ht="61.2">
      <c r="A271" s="96"/>
      <c r="B271" s="135"/>
      <c r="C271" s="12"/>
      <c r="E271" s="136"/>
      <c r="F271" s="137"/>
      <c r="G271" s="137"/>
      <c r="H271" s="136"/>
      <c r="I271" s="4"/>
      <c r="J271" s="4"/>
    </row>
    <row r="272" spans="1:10" ht="200.4" customHeight="1">
      <c r="A272" s="96">
        <f>A269+1</f>
        <v>31</v>
      </c>
      <c r="B272" s="139" t="s">
        <v>135</v>
      </c>
      <c r="C272" s="139"/>
      <c r="D272" s="139"/>
      <c r="E272" s="139"/>
      <c r="F272" s="139"/>
      <c r="G272" s="139"/>
      <c r="H272" s="139"/>
      <c r="I272" s="1"/>
      <c r="J272" s="1"/>
    </row>
    <row r="273" spans="1:10" ht="61.2">
      <c r="A273" s="96"/>
      <c r="B273" s="135" t="s">
        <v>122</v>
      </c>
      <c r="C273" s="12" t="s">
        <v>113</v>
      </c>
      <c r="E273" s="136">
        <v>1</v>
      </c>
      <c r="F273" s="137"/>
      <c r="G273" s="137"/>
      <c r="H273" s="136">
        <v>1</v>
      </c>
      <c r="I273" s="4"/>
      <c r="J273" s="4"/>
    </row>
    <row r="274" spans="1:10" ht="61.2">
      <c r="A274" s="96"/>
      <c r="B274" s="135"/>
      <c r="C274" s="12"/>
      <c r="E274" s="136"/>
      <c r="F274" s="137"/>
      <c r="G274" s="137"/>
      <c r="H274" s="136"/>
      <c r="I274" s="4"/>
      <c r="J274" s="4"/>
    </row>
    <row r="275" spans="1:10" ht="61.2">
      <c r="A275" s="96"/>
      <c r="B275" s="135"/>
      <c r="C275" s="12"/>
      <c r="E275" s="136"/>
      <c r="F275" s="137"/>
      <c r="G275" s="137"/>
      <c r="H275" s="136"/>
      <c r="I275" s="4"/>
      <c r="J275" s="4"/>
    </row>
    <row r="276" spans="1:10" ht="61.2">
      <c r="A276" s="96"/>
      <c r="B276" s="135"/>
      <c r="C276" s="12"/>
      <c r="E276" s="136"/>
      <c r="F276" s="137"/>
      <c r="G276" s="137"/>
      <c r="H276" s="136"/>
      <c r="I276" s="4"/>
      <c r="J276" s="4"/>
    </row>
    <row r="277" spans="1:10" ht="61.2">
      <c r="A277" s="96"/>
      <c r="B277" s="135"/>
      <c r="C277" s="12"/>
      <c r="E277" s="136"/>
      <c r="F277" s="137"/>
      <c r="G277" s="137"/>
      <c r="H277" s="136"/>
      <c r="I277" s="4"/>
      <c r="J277" s="4"/>
    </row>
  </sheetData>
  <mergeCells count="53">
    <mergeCell ref="A1:K1"/>
    <mergeCell ref="B186:H186"/>
    <mergeCell ref="B258:H258"/>
    <mergeCell ref="B265:H265"/>
    <mergeCell ref="B269:H269"/>
    <mergeCell ref="B99:H102"/>
    <mergeCell ref="A99:A102"/>
    <mergeCell ref="A250:A251"/>
    <mergeCell ref="B229:F229"/>
    <mergeCell ref="A237:A238"/>
    <mergeCell ref="B213:H213"/>
    <mergeCell ref="B214:C214"/>
    <mergeCell ref="B220:H221"/>
    <mergeCell ref="B222:C222"/>
    <mergeCell ref="A226:A227"/>
    <mergeCell ref="A244:A245"/>
    <mergeCell ref="B272:H272"/>
    <mergeCell ref="B232:H232"/>
    <mergeCell ref="B261:H261"/>
    <mergeCell ref="B256:H256"/>
    <mergeCell ref="A10:A11"/>
    <mergeCell ref="B90:H92"/>
    <mergeCell ref="A90:A92"/>
    <mergeCell ref="B122:H124"/>
    <mergeCell ref="A122:A123"/>
    <mergeCell ref="B81:H81"/>
    <mergeCell ref="B54:C54"/>
    <mergeCell ref="B58:H58"/>
    <mergeCell ref="B59:C59"/>
    <mergeCell ref="B74:H74"/>
    <mergeCell ref="B49:C49"/>
    <mergeCell ref="B52:H52"/>
    <mergeCell ref="A195:A196"/>
    <mergeCell ref="B195:H196"/>
    <mergeCell ref="B197:E197"/>
    <mergeCell ref="B203:H203"/>
    <mergeCell ref="A220:A221"/>
    <mergeCell ref="B250:H252"/>
    <mergeCell ref="B181:E181"/>
    <mergeCell ref="B180:H180"/>
    <mergeCell ref="E2:G2"/>
    <mergeCell ref="B131:H131"/>
    <mergeCell ref="B158:H158"/>
    <mergeCell ref="B171:H171"/>
    <mergeCell ref="B109:E109"/>
    <mergeCell ref="B112:H112"/>
    <mergeCell ref="B117:H117"/>
    <mergeCell ref="B9:H11"/>
    <mergeCell ref="B4:H4"/>
    <mergeCell ref="B159:C159"/>
    <mergeCell ref="B226:H228"/>
    <mergeCell ref="B237:H239"/>
    <mergeCell ref="B244:H246"/>
  </mergeCells>
  <printOptions horizontalCentered="1" verticalCentered="1" gridLines="1"/>
  <pageMargins left="0.19685039370078741" right="0.19685039370078741" top="0.19685039370078741" bottom="0.19685039370078741" header="0.31496062992125984" footer="0.31496062992125984"/>
  <pageSetup paperSize="9" scale="20" fitToHeight="15" orientation="portrait" r:id="rId1"/>
  <rowBreaks count="7" manualBreakCount="7">
    <brk id="51" max="10" man="1"/>
    <brk id="121" max="10" man="1"/>
    <brk id="170" max="10" man="1"/>
    <brk id="218" max="10" man="1"/>
    <brk id="243" max="10" man="1"/>
    <brk id="276" max="10" man="1"/>
    <brk id="478"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SF EST CIVIL</vt:lpstr>
      <vt:lpstr>'SF EST CIVIL'!Print_Area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Veda</dc:creator>
  <cp:lastModifiedBy>Veda</cp:lastModifiedBy>
  <cp:lastPrinted>2026-07-17T06:05:31Z</cp:lastPrinted>
  <dcterms:created xsi:type="dcterms:W3CDTF">2026-02-23T09:42:58Z</dcterms:created>
  <dcterms:modified xsi:type="dcterms:W3CDTF">2026-07-17T07:04:34Z</dcterms:modified>
</cp:coreProperties>
</file>